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ing\ตรวจประเมิน ทุกระดับ 65\"/>
    </mc:Choice>
  </mc:AlternateContent>
  <bookViews>
    <workbookView xWindow="0" yWindow="0" windowWidth="19368" windowHeight="8904" tabRatio="721" activeTab="13"/>
  </bookViews>
  <sheets>
    <sheet name="ตบช.เชิงปริมาณ" sheetId="1" r:id="rId1"/>
    <sheet name="ตัวบ่งชี้ 2.1" sheetId="19" r:id="rId2"/>
    <sheet name="อัตราการเปลี่ยนแปลง (ตรี 4 ปี)" sheetId="5" r:id="rId3"/>
    <sheet name="อัตราเปลี่ยนแปลง (ตรี 5 ปี)" sheetId="18" r:id="rId4"/>
    <sheet name="อัตราเปลี่ยนแปลง (ตรี 6 ปี)" sheetId="17" r:id="rId5"/>
    <sheet name="อัตราการเปลี่ยนแปลง (โท)" sheetId="13" r:id="rId6"/>
    <sheet name="อัตราการเปลี่ยนแปลง (เอก)" sheetId="14" r:id="rId7"/>
    <sheet name="ตัวบ่งชี้ 3.3 (ป.ตรี4ปี)" sheetId="6" r:id="rId8"/>
    <sheet name="ตัวบ่งชี้3.3(ป.ตรี5ปี)" sheetId="9" r:id="rId9"/>
    <sheet name="ตัวบ่งชี้3.3(ป.ตรี6ปี)" sheetId="10" r:id="rId10"/>
    <sheet name="ตัวบ่งชี้ 3.3 (ป.โท 2 ปี)" sheetId="8" r:id="rId11"/>
    <sheet name="ตัวบ่งชี้ 3.3 (เอก 3 ปี)" sheetId="12" r:id="rId12"/>
    <sheet name="ราย ตบช.(ตรี-โท)" sheetId="15" r:id="rId13"/>
    <sheet name="สรุปคะแนน(ตรี-โท)" sheetId="21" r:id="rId14"/>
    <sheet name="ราย ตบช.(เอก)" sheetId="20" r:id="rId15"/>
    <sheet name="สรุปคะแนน (เอก)" sheetId="25" r:id="rId16"/>
  </sheets>
  <calcPr calcId="162913"/>
</workbook>
</file>

<file path=xl/calcChain.xml><?xml version="1.0" encoding="utf-8"?>
<calcChain xmlns="http://schemas.openxmlformats.org/spreadsheetml/2006/main">
  <c r="D25" i="1" l="1"/>
  <c r="O3" i="20"/>
  <c r="L13" i="25"/>
  <c r="H13" i="25"/>
  <c r="D13" i="25"/>
  <c r="O9" i="25"/>
  <c r="O10" i="25"/>
  <c r="O11" i="25"/>
  <c r="H11" i="25"/>
  <c r="H10" i="25"/>
  <c r="D10" i="25"/>
  <c r="D9" i="25"/>
  <c r="D8" i="25"/>
  <c r="L7" i="25"/>
  <c r="E11" i="21" l="1"/>
  <c r="F13" i="21"/>
  <c r="E13" i="21"/>
  <c r="O6" i="15"/>
  <c r="G10" i="21" s="1"/>
  <c r="E10" i="21"/>
  <c r="D8" i="21"/>
  <c r="F7" i="21"/>
  <c r="D10" i="21"/>
  <c r="C12" i="21"/>
  <c r="C12" i="25" l="1"/>
  <c r="I11" i="25"/>
  <c r="P11" i="25" s="1"/>
  <c r="K10" i="25"/>
  <c r="J10" i="25"/>
  <c r="I10" i="25"/>
  <c r="E10" i="25"/>
  <c r="G9" i="25"/>
  <c r="E9" i="25"/>
  <c r="G8" i="25"/>
  <c r="F8" i="25"/>
  <c r="E8" i="25"/>
  <c r="N7" i="25"/>
  <c r="M7" i="25"/>
  <c r="H10" i="21"/>
  <c r="E16" i="20"/>
  <c r="O13" i="25" s="1"/>
  <c r="E9" i="20"/>
  <c r="G9" i="8"/>
  <c r="G6" i="10"/>
  <c r="C83" i="1"/>
  <c r="C93" i="1"/>
  <c r="C49" i="1"/>
  <c r="C46" i="1"/>
  <c r="C37" i="1"/>
  <c r="C36" i="1"/>
  <c r="C34" i="1"/>
  <c r="E37" i="1"/>
  <c r="C104" i="1"/>
  <c r="C105" i="1" s="1"/>
  <c r="P10" i="25" l="1"/>
  <c r="G14" i="14"/>
  <c r="D14" i="14"/>
  <c r="E14" i="14"/>
  <c r="F14" i="14"/>
  <c r="C14" i="14"/>
  <c r="F12" i="13"/>
  <c r="D12" i="13"/>
  <c r="E12" i="13"/>
  <c r="C12" i="13"/>
  <c r="J20" i="17"/>
  <c r="D20" i="17"/>
  <c r="E20" i="17"/>
  <c r="F20" i="17"/>
  <c r="G20" i="17"/>
  <c r="H20" i="17"/>
  <c r="I20" i="17"/>
  <c r="C20" i="17"/>
  <c r="C16" i="5"/>
  <c r="D18" i="18"/>
  <c r="E18" i="18"/>
  <c r="F18" i="18"/>
  <c r="G18" i="18"/>
  <c r="H18" i="18"/>
  <c r="I18" i="18"/>
  <c r="C18" i="18"/>
  <c r="D9" i="20"/>
  <c r="D16" i="20" s="1"/>
  <c r="C9" i="20"/>
  <c r="C16" i="20" s="1"/>
  <c r="O7" i="20"/>
  <c r="N7" i="20"/>
  <c r="O6" i="20"/>
  <c r="N6" i="20"/>
  <c r="O4" i="20"/>
  <c r="O8" i="25" s="1"/>
  <c r="P8" i="25" s="1"/>
  <c r="N4" i="20"/>
  <c r="O7" i="25"/>
  <c r="P7" i="25" s="1"/>
  <c r="N3" i="20"/>
  <c r="E9" i="15"/>
  <c r="D17" i="1"/>
  <c r="C8" i="1"/>
  <c r="D16" i="5"/>
  <c r="E16" i="5"/>
  <c r="F16" i="5"/>
  <c r="G16" i="5"/>
  <c r="H16" i="5"/>
  <c r="D6" i="5"/>
  <c r="E6" i="5"/>
  <c r="C60" i="1"/>
  <c r="C59" i="1"/>
  <c r="C10" i="1"/>
  <c r="D13" i="21" l="1"/>
  <c r="D9" i="21"/>
  <c r="E16" i="15"/>
  <c r="G13" i="21" s="1"/>
  <c r="H13" i="21" s="1"/>
  <c r="F9" i="25"/>
  <c r="O5" i="20"/>
  <c r="N5" i="20"/>
  <c r="D45" i="19"/>
  <c r="E42" i="19"/>
  <c r="E38" i="19"/>
  <c r="E34" i="19"/>
  <c r="D29" i="19"/>
  <c r="E25" i="19"/>
  <c r="E20" i="19"/>
  <c r="E15" i="19"/>
  <c r="E10" i="19"/>
  <c r="E4" i="19"/>
  <c r="P9" i="25" l="1"/>
  <c r="P13" i="25"/>
  <c r="I16" i="18"/>
  <c r="F21" i="18" s="1"/>
  <c r="I14" i="18"/>
  <c r="F23" i="18" s="1"/>
  <c r="H14" i="18"/>
  <c r="H21" i="18" s="1"/>
  <c r="I12" i="18"/>
  <c r="H12" i="18"/>
  <c r="H23" i="18" s="1"/>
  <c r="G12" i="18"/>
  <c r="J21" i="18" s="1"/>
  <c r="I10" i="18"/>
  <c r="H10" i="18"/>
  <c r="H25" i="18" s="1"/>
  <c r="G10" i="18"/>
  <c r="J23" i="18" s="1"/>
  <c r="F10" i="18"/>
  <c r="B9" i="18"/>
  <c r="B11" i="18" s="1"/>
  <c r="B13" i="18" s="1"/>
  <c r="B15" i="18" s="1"/>
  <c r="B17" i="18" s="1"/>
  <c r="I8" i="18"/>
  <c r="H8" i="18"/>
  <c r="H27" i="18" s="1"/>
  <c r="G8" i="18"/>
  <c r="J25" i="18" s="1"/>
  <c r="F8" i="18"/>
  <c r="E8" i="18"/>
  <c r="I6" i="18"/>
  <c r="H6" i="18"/>
  <c r="G6" i="18"/>
  <c r="F27" i="18" s="1"/>
  <c r="F6" i="18"/>
  <c r="E6" i="18"/>
  <c r="D6" i="18"/>
  <c r="E4" i="18"/>
  <c r="F4" i="18" s="1"/>
  <c r="G4" i="18" s="1"/>
  <c r="H4" i="18" s="1"/>
  <c r="I4" i="18" s="1"/>
  <c r="D6" i="17"/>
  <c r="E6" i="17"/>
  <c r="F6" i="17"/>
  <c r="E8" i="17"/>
  <c r="F8" i="17"/>
  <c r="F10" i="17"/>
  <c r="J6" i="17"/>
  <c r="I6" i="17"/>
  <c r="H6" i="17"/>
  <c r="G31" i="17" s="1"/>
  <c r="G6" i="17"/>
  <c r="J8" i="17"/>
  <c r="I8" i="17"/>
  <c r="I31" i="17" s="1"/>
  <c r="H8" i="17"/>
  <c r="G29" i="17" s="1"/>
  <c r="G8" i="17"/>
  <c r="J18" i="17"/>
  <c r="J16" i="17"/>
  <c r="I16" i="17"/>
  <c r="I23" i="17" s="1"/>
  <c r="J14" i="17"/>
  <c r="M27" i="17" s="1"/>
  <c r="I14" i="17"/>
  <c r="I25" i="17" s="1"/>
  <c r="H14" i="17"/>
  <c r="K23" i="17" s="1"/>
  <c r="J12" i="17"/>
  <c r="K29" i="17" s="1"/>
  <c r="I12" i="17"/>
  <c r="I27" i="17" s="1"/>
  <c r="H12" i="17"/>
  <c r="K25" i="17" s="1"/>
  <c r="G12" i="17"/>
  <c r="B11" i="17"/>
  <c r="B13" i="17" s="1"/>
  <c r="B15" i="17" s="1"/>
  <c r="B17" i="17" s="1"/>
  <c r="B19" i="17" s="1"/>
  <c r="J10" i="17"/>
  <c r="M31" i="17" s="1"/>
  <c r="I10" i="17"/>
  <c r="I29" i="17" s="1"/>
  <c r="H10" i="17"/>
  <c r="K27" i="17" s="1"/>
  <c r="G10" i="17"/>
  <c r="F4" i="17"/>
  <c r="G4" i="17" s="1"/>
  <c r="H4" i="17" s="1"/>
  <c r="I4" i="17" s="1"/>
  <c r="J4" i="17" s="1"/>
  <c r="G11" i="6"/>
  <c r="I6" i="12"/>
  <c r="I5" i="12"/>
  <c r="N3" i="15"/>
  <c r="O3" i="15"/>
  <c r="G7" i="21" s="1"/>
  <c r="H7" i="21" s="1"/>
  <c r="N4" i="15"/>
  <c r="O4" i="15"/>
  <c r="G8" i="21" s="1"/>
  <c r="H8" i="21" s="1"/>
  <c r="N6" i="15"/>
  <c r="N7" i="15"/>
  <c r="O7" i="15"/>
  <c r="G11" i="21" s="1"/>
  <c r="H11" i="21" s="1"/>
  <c r="C9" i="15"/>
  <c r="C16" i="15" s="1"/>
  <c r="D9" i="15"/>
  <c r="D16" i="15" s="1"/>
  <c r="G27" i="17" l="1"/>
  <c r="M29" i="17"/>
  <c r="L27" i="18"/>
  <c r="K31" i="17"/>
  <c r="M25" i="17"/>
  <c r="L25" i="18"/>
  <c r="L21" i="18"/>
  <c r="L23" i="18"/>
  <c r="J27" i="18"/>
  <c r="F25" i="18"/>
  <c r="M23" i="17"/>
  <c r="G23" i="17"/>
  <c r="G25" i="17"/>
  <c r="O5" i="15"/>
  <c r="G9" i="21" s="1"/>
  <c r="H9" i="21" s="1"/>
  <c r="N5" i="15"/>
  <c r="C26" i="1" l="1"/>
  <c r="C27" i="1" s="1"/>
  <c r="G8" i="14"/>
  <c r="I4" i="6"/>
  <c r="G12" i="14"/>
  <c r="E17" i="14" s="1"/>
  <c r="G10" i="14"/>
  <c r="K19" i="14" s="1"/>
  <c r="F10" i="14"/>
  <c r="K17" i="14" s="1"/>
  <c r="F8" i="14"/>
  <c r="G19" i="14" s="1"/>
  <c r="E8" i="14"/>
  <c r="I17" i="14" s="1"/>
  <c r="B7" i="14"/>
  <c r="B9" i="14" s="1"/>
  <c r="B11" i="14" s="1"/>
  <c r="B13" i="14" s="1"/>
  <c r="G6" i="14"/>
  <c r="F6" i="14"/>
  <c r="E6" i="14"/>
  <c r="I19" i="14" s="1"/>
  <c r="D6" i="14"/>
  <c r="D4" i="14"/>
  <c r="E4" i="14" s="1"/>
  <c r="F4" i="14" s="1"/>
  <c r="G4" i="14" s="1"/>
  <c r="E19" i="14" l="1"/>
  <c r="G17" i="14"/>
  <c r="D4" i="13"/>
  <c r="E4" i="13" s="1"/>
  <c r="F4" i="13" s="1"/>
  <c r="D6" i="13"/>
  <c r="I15" i="13" s="1"/>
  <c r="E6" i="13"/>
  <c r="F6" i="13"/>
  <c r="B7" i="13"/>
  <c r="B9" i="13" s="1"/>
  <c r="B11" i="13" s="1"/>
  <c r="E8" i="13"/>
  <c r="G15" i="13" s="1"/>
  <c r="F8" i="13"/>
  <c r="F10" i="13"/>
  <c r="E15" i="13" l="1"/>
  <c r="K15" i="13"/>
  <c r="G6" i="12"/>
  <c r="G5" i="12"/>
  <c r="F6" i="12"/>
  <c r="F5" i="12"/>
  <c r="B9" i="12"/>
  <c r="G10" i="12"/>
  <c r="H9" i="12"/>
  <c r="E9" i="12"/>
  <c r="D9" i="12"/>
  <c r="C9" i="12"/>
  <c r="I8" i="12"/>
  <c r="G8" i="12"/>
  <c r="F8" i="12"/>
  <c r="I7" i="12"/>
  <c r="G7" i="12"/>
  <c r="F7" i="12"/>
  <c r="I4" i="12"/>
  <c r="G4" i="12"/>
  <c r="F4" i="12"/>
  <c r="B8" i="8"/>
  <c r="I9" i="12" l="1"/>
  <c r="G9" i="12"/>
  <c r="G7" i="8"/>
  <c r="G6" i="8"/>
  <c r="G5" i="8"/>
  <c r="F4" i="6" l="1"/>
  <c r="F5" i="6"/>
  <c r="F6" i="6"/>
  <c r="F7" i="6"/>
  <c r="F8" i="6"/>
  <c r="F9" i="6"/>
  <c r="G4" i="8"/>
  <c r="G10" i="10"/>
  <c r="G9" i="10"/>
  <c r="G9" i="9"/>
  <c r="G9" i="6"/>
  <c r="G8" i="6"/>
  <c r="G7" i="6"/>
  <c r="G6" i="6"/>
  <c r="G5" i="6"/>
  <c r="G4" i="6"/>
  <c r="I10" i="10" l="1"/>
  <c r="F10" i="10"/>
  <c r="E12" i="10"/>
  <c r="D12" i="10"/>
  <c r="C12" i="10"/>
  <c r="I9" i="10"/>
  <c r="F9" i="10"/>
  <c r="G7" i="10"/>
  <c r="F5" i="10"/>
  <c r="G5" i="10"/>
  <c r="F9" i="9"/>
  <c r="I9" i="9"/>
  <c r="E11" i="9"/>
  <c r="D11" i="9"/>
  <c r="C11" i="9"/>
  <c r="G8" i="9"/>
  <c r="F7" i="9"/>
  <c r="G7" i="9"/>
  <c r="G4" i="9"/>
  <c r="F6" i="10" l="1"/>
  <c r="F4" i="10"/>
  <c r="G4" i="10"/>
  <c r="G13" i="10"/>
  <c r="G11" i="10"/>
  <c r="F6" i="9"/>
  <c r="G6" i="9"/>
  <c r="G12" i="9"/>
  <c r="G10" i="9"/>
  <c r="F5" i="9"/>
  <c r="G5" i="9"/>
  <c r="G11" i="9" s="1"/>
  <c r="F8" i="10"/>
  <c r="G8" i="10"/>
  <c r="I7" i="10"/>
  <c r="I8" i="10"/>
  <c r="I5" i="10"/>
  <c r="I4" i="10"/>
  <c r="F7" i="10"/>
  <c r="F11" i="10"/>
  <c r="B12" i="10"/>
  <c r="I11" i="10"/>
  <c r="I7" i="9"/>
  <c r="I5" i="9"/>
  <c r="F8" i="9"/>
  <c r="B11" i="9"/>
  <c r="I6" i="9"/>
  <c r="F10" i="9"/>
  <c r="I4" i="9"/>
  <c r="F4" i="9"/>
  <c r="I8" i="9"/>
  <c r="I10" i="9"/>
  <c r="B7" i="5"/>
  <c r="B9" i="5" s="1"/>
  <c r="B11" i="5" s="1"/>
  <c r="B13" i="5" s="1"/>
  <c r="B15" i="5" s="1"/>
  <c r="D4" i="5"/>
  <c r="E4" i="5" s="1"/>
  <c r="F4" i="5" s="1"/>
  <c r="G4" i="5" s="1"/>
  <c r="H4" i="5" s="1"/>
  <c r="G12" i="10" l="1"/>
  <c r="H12" i="10"/>
  <c r="I12" i="10" s="1"/>
  <c r="I6" i="10"/>
  <c r="H11" i="9"/>
  <c r="I11" i="9" s="1"/>
  <c r="F6" i="8"/>
  <c r="E8" i="8"/>
  <c r="D8" i="8"/>
  <c r="C8" i="8"/>
  <c r="F7" i="8"/>
  <c r="F5" i="8"/>
  <c r="F4" i="8"/>
  <c r="G8" i="8" l="1"/>
  <c r="I7" i="8"/>
  <c r="I5" i="8"/>
  <c r="I4" i="8"/>
  <c r="I6" i="8"/>
  <c r="E10" i="6"/>
  <c r="D10" i="6"/>
  <c r="C10" i="6"/>
  <c r="H14" i="5"/>
  <c r="H12" i="5"/>
  <c r="G12" i="5"/>
  <c r="G19" i="5" s="1"/>
  <c r="H10" i="5"/>
  <c r="G10" i="5"/>
  <c r="G21" i="5" s="1"/>
  <c r="F10" i="5"/>
  <c r="H8" i="5"/>
  <c r="G8" i="5"/>
  <c r="G23" i="5" s="1"/>
  <c r="F8" i="5"/>
  <c r="I21" i="5" s="1"/>
  <c r="E8" i="5"/>
  <c r="H6" i="5"/>
  <c r="G6" i="5"/>
  <c r="F6" i="5"/>
  <c r="I23" i="5" s="1"/>
  <c r="E21" i="5" l="1"/>
  <c r="K21" i="5"/>
  <c r="E19" i="5"/>
  <c r="K19" i="5"/>
  <c r="K23" i="5"/>
  <c r="H8" i="8"/>
  <c r="I8" i="8" s="1"/>
  <c r="B10" i="6"/>
  <c r="G10" i="6"/>
  <c r="I5" i="6"/>
  <c r="I7" i="6"/>
  <c r="I19" i="5"/>
  <c r="E23" i="5"/>
  <c r="I9" i="6" l="1"/>
  <c r="I6" i="6"/>
  <c r="H10" i="6"/>
  <c r="I10" i="6" s="1"/>
  <c r="I8" i="6"/>
  <c r="C92" i="1" l="1"/>
  <c r="C72" i="1"/>
  <c r="C73" i="1" s="1"/>
  <c r="C74" i="1" s="1"/>
  <c r="F37" i="1"/>
  <c r="C48" i="1"/>
  <c r="K9" i="1"/>
  <c r="O84" i="1"/>
  <c r="N84" i="1"/>
  <c r="M84" i="1"/>
  <c r="L84" i="1"/>
  <c r="K84" i="1"/>
  <c r="J84" i="1"/>
  <c r="I84" i="1"/>
  <c r="H84" i="1"/>
  <c r="G84" i="1"/>
  <c r="F84" i="1"/>
  <c r="O49" i="1"/>
  <c r="N49" i="1"/>
  <c r="M49" i="1"/>
  <c r="L49" i="1"/>
  <c r="K49" i="1"/>
  <c r="J49" i="1"/>
  <c r="I49" i="1"/>
  <c r="H49" i="1"/>
  <c r="G49" i="1"/>
  <c r="F49" i="1"/>
  <c r="O37" i="1"/>
  <c r="N37" i="1"/>
  <c r="M37" i="1"/>
  <c r="L37" i="1"/>
  <c r="K37" i="1"/>
  <c r="J37" i="1"/>
  <c r="I37" i="1"/>
  <c r="H37" i="1"/>
  <c r="G37" i="1"/>
  <c r="K50" i="1" l="1"/>
  <c r="K85" i="1"/>
  <c r="C80" i="1" s="1"/>
  <c r="C82" i="1" s="1"/>
  <c r="K38" i="1"/>
</calcChain>
</file>

<file path=xl/sharedStrings.xml><?xml version="1.0" encoding="utf-8"?>
<sst xmlns="http://schemas.openxmlformats.org/spreadsheetml/2006/main" count="614" uniqueCount="233">
  <si>
    <t xml:space="preserve">เกณฑ์การประเมิน : ใช้ค่าเฉลี่ยของคะแนนประเมินบัณฑิต (คะแนนเต็ม 5) </t>
  </si>
  <si>
    <t>ข้อมูลพื้นฐาน</t>
  </si>
  <si>
    <t>จำนวนยืนยัน</t>
  </si>
  <si>
    <t>1. จำนวนผู้สำเร็จการศึกษาในหลักสูตรทั้งหมด (คน)</t>
  </si>
  <si>
    <t>2. จำนวนผู้สำเร็จการศึกษาที่ได้รับการประเมินคุณภาพ</t>
  </si>
  <si>
    <t xml:space="preserve">3. ผลรวมค่าคะแนนที่ได้รับจากการประเมินบัณฑิต </t>
  </si>
  <si>
    <t xml:space="preserve">คะแนนการประเมินบัณฑิตตามกรอบมาตรฐานคุณวุฒิฯ  </t>
  </si>
  <si>
    <t>ตัวบ่งชี้ที่ 2.2 (ปริญญาตรี) ร้อยละของบัณฑิตปริญญาตรีที่ได้งานทำหรือประกอบอาชีพอิสระภายใน 1  ปี</t>
  </si>
  <si>
    <t>เกณฑ์การประเมิน : ใช้บัญญัติไตรยางศ์เทียบ กำหนดร้อยละ 100 เท่ากับ 5 คะแนน</t>
  </si>
  <si>
    <t>เทียบบัญญัติไตรยางศ์</t>
  </si>
  <si>
    <r>
      <t xml:space="preserve">ตัวบ่งชี้ที่  2.2 </t>
    </r>
    <r>
      <rPr>
        <b/>
        <sz val="16"/>
        <color rgb="FFFF0000"/>
        <rFont val="Cordia New"/>
        <family val="2"/>
      </rPr>
      <t>(ปริญญาโท)</t>
    </r>
    <r>
      <rPr>
        <b/>
        <sz val="16"/>
        <color theme="1"/>
        <rFont val="Cordia New"/>
        <family val="2"/>
      </rPr>
      <t xml:space="preserve"> ผลงานของนักศึกษา และผู้สำเร็จการศึกษาในระดับปริญญาโท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  </r>
  </si>
  <si>
    <t xml:space="preserve">                  ที่ได้รับการตีพิมพ์หรือเผยแพร่</t>
  </si>
  <si>
    <t>เกณฑ์การประเมิน : ใช้บัญญัติไตรยางศ์เทียบ กำหนดร้อยละ 40 เท่ากับ 5 คะแนน</t>
  </si>
  <si>
    <t>ผลงานทางวิชาการ (ชิ้น)</t>
  </si>
  <si>
    <t>งานสร้างสรรค์ (ชิ้น)</t>
  </si>
  <si>
    <t xml:space="preserve">จำนวนผู้สำเร็จการศึกษาระดับปริญญาโททั้งหมด  </t>
  </si>
  <si>
    <t xml:space="preserve">ร้อยละของผลรวมถ่วงน้ำหนักของผลงานที่ตีพิมพ์หรือเผยแพร่ </t>
  </si>
  <si>
    <t>ผลรวมถ่วงน้ำหนักของผลงาน</t>
  </si>
  <si>
    <r>
      <t xml:space="preserve">ตัวบ่งชี้ที่  2.2 </t>
    </r>
    <r>
      <rPr>
        <b/>
        <sz val="16"/>
        <color rgb="FFFF0000"/>
        <rFont val="Cordia New"/>
        <family val="2"/>
      </rPr>
      <t>(ระดับปริญญาเอก)</t>
    </r>
    <r>
      <rPr>
        <b/>
        <sz val="16"/>
        <color theme="1"/>
        <rFont val="Cordia New"/>
        <family val="2"/>
      </rPr>
      <t xml:space="preserve"> ผลงานของนักศึกษาและผู้สำเร็จการศึกษา
          หรือเผยแพร่  
ตัวบ่งชี้ที่  2.2  (ปริญญาโท) ผลงานของนักศึกษา และผู้สำเร็จการศึกษาในระดับปริญญาโทที่ได้รับการตีพิมพ์
          หรือเผยแพร่  
</t>
    </r>
  </si>
  <si>
    <t xml:space="preserve">                  ในระดับปริญญาเอกที่ได้รับการตีพิมพ์หรือเผยแพร่</t>
  </si>
  <si>
    <t>เกณฑ์การประเมิน : ใช้บัญญัติไตรยางศ์เทียบ กำหนดร้อยละ 80 เท่ากับ 5 คะแนน</t>
  </si>
  <si>
    <t xml:space="preserve">จำนวนผู้สำเร็จการศึกษาระดับปริญญาเอกทั้งหมด  </t>
  </si>
  <si>
    <t>ตัวบ่งชี้ 4.2 คุณภาพอาจารย์</t>
  </si>
  <si>
    <t xml:space="preserve">หลักสูตรระดับปริญญาตรี  </t>
  </si>
  <si>
    <t>ร้อยละ 20 ขึ้นไป</t>
  </si>
  <si>
    <t xml:space="preserve">หลักสูตรระดับปริญญาโท </t>
  </si>
  <si>
    <t>ร้อยละ 60 ขึ้นไป</t>
  </si>
  <si>
    <t>หลักสูตรระดับปริญญาเอก</t>
  </si>
  <si>
    <t>ร้อยละ 100</t>
  </si>
  <si>
    <t>เทียบบัญญัติไตรยางศ์  (หารด้วย ร้อยละของอาจารย์ประจำหลักสูตร</t>
  </si>
  <si>
    <t>ที่มีคุณวุฒิปริญญาเอกที่กำหนดให้เป็นคะแนนเต็ม 5)</t>
  </si>
  <si>
    <t>ร้อยละ 80 ขึ้นไป</t>
  </si>
  <si>
    <t>ที่ดำรงตำแหน่งทางวิชาการที่กำหนดให้เป็นคะแนนเต็ม 5)</t>
  </si>
  <si>
    <t>ร้อยละ 40 ขึ้นไป</t>
  </si>
  <si>
    <t>เทียบบัญญัติไตรยางศ์  (หารด้วยร้อยละของผลรวมถ่วงน้ำหนักของผลงาน</t>
  </si>
  <si>
    <t xml:space="preserve">กลุ่มสาขาวิชาวิทยาศาสตร์และเทคโนโลยี  </t>
  </si>
  <si>
    <t>2.50 ขึ้นไป</t>
  </si>
  <si>
    <t xml:space="preserve">กลุ่มสาขาวิชาวิทยาศาสตร์สุขภาพ  </t>
  </si>
  <si>
    <t>3.00 ขึ้นไป</t>
  </si>
  <si>
    <t xml:space="preserve">จำนวนบทความที่ได้รับการอ้างอิง </t>
  </si>
  <si>
    <t>0.25 ขึ้นไป</t>
  </si>
  <si>
    <t>เทียบบัญญัติไตรยางศ์  (หารด้วยอัตราส่วนจำนวนบทความที่ได้รับการ</t>
  </si>
  <si>
    <t>ของแต่ละกลุ่มสาขาวิชา)</t>
  </si>
  <si>
    <t xml:space="preserve">ตัวบ่งชี้ที่ 5.4  ผลการดำเนินงานหลักสูตรตามกรอบมาตรฐานคุณวุฒิระดับอุดมศึกษาแห่งชาติ </t>
  </si>
  <si>
    <t xml:space="preserve">น้อยกว่าร้อยละ 80  </t>
  </si>
  <si>
    <t>มีค่าคะแนนเท่ากับ 0</t>
  </si>
  <si>
    <t xml:space="preserve">จำนวนตัวบ่งชี้   ตามกรอบมาตรฐานคุณวุฒิ TQF  </t>
  </si>
  <si>
    <t>ร้อยละ 80</t>
  </si>
  <si>
    <t>มีค่าคะแนนเท่ากับ 3.50</t>
  </si>
  <si>
    <t xml:space="preserve">จำนวนตัวบ่งชี้   ที่ได้ดำเนินการ  ตามกรอบกรอบมาตรฐาน TQF   </t>
  </si>
  <si>
    <t xml:space="preserve">ร้อยละ 80.01-89.99  </t>
  </si>
  <si>
    <t>มีค่าคะแนนเท่ากับ 4.00</t>
  </si>
  <si>
    <t xml:space="preserve">การคำนวณ   </t>
  </si>
  <si>
    <t xml:space="preserve">ร้อยละ 90.00-94.99  </t>
  </si>
  <si>
    <t>มีค่าคะแนนเท่ากับ 4.50</t>
  </si>
  <si>
    <t>**เทียบจากเกณฑ์การประเมิน  มีค่าคะแนนเท่ากับ</t>
  </si>
  <si>
    <t xml:space="preserve">ร้อยละ 95.00-99.99  </t>
  </si>
  <si>
    <t>มีค่าคะแนนเท่ากับ 4.75</t>
  </si>
  <si>
    <t xml:space="preserve">ร้อยละ 100 </t>
  </si>
  <si>
    <t>มีค่าคะแนนเท่ากับ 5.00</t>
  </si>
  <si>
    <t xml:space="preserve">หมายเหตุ : </t>
  </si>
  <si>
    <t>ผลประเมิน</t>
  </si>
  <si>
    <t>รวม</t>
  </si>
  <si>
    <t>-</t>
  </si>
  <si>
    <t>ตัวบ่งชี้</t>
  </si>
  <si>
    <t>ผลการประเมิน</t>
  </si>
  <si>
    <t>O</t>
  </si>
  <si>
    <t>P</t>
  </si>
  <si>
    <t>I</t>
  </si>
  <si>
    <t>จำนวน</t>
  </si>
  <si>
    <t>องค์ประกอบ</t>
  </si>
  <si>
    <t>ผ่านการประเมิน</t>
  </si>
  <si>
    <t>หลักสูตรได้มาตรฐาน</t>
  </si>
  <si>
    <t>ค่าเฉลี่ย</t>
  </si>
  <si>
    <t>คนตอบ</t>
  </si>
  <si>
    <t xml:space="preserve">                                                                                          </t>
  </si>
  <si>
    <t xml:space="preserve">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</si>
  <si>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</si>
  <si>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</t>
  </si>
  <si>
    <t xml:space="preserve"> </t>
  </si>
  <si>
    <t xml:space="preserve">   </t>
  </si>
  <si>
    <t>รวม 13 ตบช.</t>
  </si>
  <si>
    <t>ประเมินตนเอง</t>
  </si>
  <si>
    <t>คะแนนเฉลี่ย</t>
  </si>
  <si>
    <t xml:space="preserve">0.01 - 2.00        </t>
  </si>
  <si>
    <t xml:space="preserve">2.01 - 3.00        </t>
  </si>
  <si>
    <t xml:space="preserve">3.01 - 4.00        </t>
  </si>
  <si>
    <t xml:space="preserve">4.01 - 5.00      </t>
  </si>
  <si>
    <t>ระดับคุณภาพน้อย</t>
  </si>
  <si>
    <t>ระดับคุณภาพปานกลาง</t>
  </si>
  <si>
    <t>ระดับคุณภาพดี</t>
  </si>
  <si>
    <t>ระดับคุณภาพดีมาก</t>
  </si>
  <si>
    <t>n/a</t>
  </si>
  <si>
    <t>ปีการศึกษาที่รับเข้า</t>
  </si>
  <si>
    <t>(ตั้งแต่ปีการศึกษาที่เริ่มใช้หลักสูตร)</t>
  </si>
  <si>
    <t>ปีการศึกษา</t>
  </si>
  <si>
    <t>=</t>
  </si>
  <si>
    <t>ร้อยละ</t>
  </si>
  <si>
    <t>+</t>
  </si>
  <si>
    <t>คน</t>
  </si>
  <si>
    <t>การคำนวณอัตราการเปลี่ยนแปลงจำนวนนักศึกษาที่เรียนต่อขึ้นชั้นปี</t>
  </si>
  <si>
    <t>การคำนวณอัตราการเปลี่ยนแปลงจำนวนนักศึกษาที่เรียนต่อขึ้นชั้นปีจะคำนวณย้อนกลับไป 3 ปีการศึกษานับจากปีรายงาน</t>
  </si>
  <si>
    <t>นักศึกษาชั้นปีที่ 1 ที่เรียนต่อชั้นปีที่ 2 เฉลี่ย =</t>
  </si>
  <si>
    <t>นักศึกษาชั้นปีที่ 2 ที่เรียนต่อชั้นปีที่ 3 เฉลี่ย =</t>
  </si>
  <si>
    <t>นักศึกษาชั้นปีที่ 3 ที่เรียนต่อชั้นปีที่ 4 เฉลี่ย =</t>
  </si>
  <si>
    <t>ปีการ ศึกษา</t>
  </si>
  <si>
    <t>จำนวนที่รับเข้า   (1)</t>
  </si>
  <si>
    <t xml:space="preserve">จำนวนที่สำเร็จการศึกษา  (2) </t>
  </si>
  <si>
    <t xml:space="preserve">อัตราการสำเร็จการศึกษาตามเกณฑ์ </t>
  </si>
  <si>
    <t>อัตราการคงอยู่</t>
  </si>
  <si>
    <t>[โดยรวมที่สำเร็จก่อนเกณฑ์]</t>
  </si>
  <si>
    <t>(3)</t>
  </si>
  <si>
    <t>1.จำนวนนักศึกษาชั้นปีที่ 1 ที่รับเข้าในปีการศึกษาที่รายงาน จำนวน =</t>
  </si>
  <si>
    <t>ประเมนตนเอง</t>
  </si>
  <si>
    <t>ปีการ ศึกษา*</t>
  </si>
  <si>
    <t>จำนวนนักศึกษาชั้นปีที่ 1 ที่รับเข้าในปีการศึกษาที่รายงาน จำนวน =</t>
  </si>
  <si>
    <t>กรอกข้อมูลเฉพาะคอลัมน์ B , C, D, E และ H</t>
  </si>
  <si>
    <t>การประเมินตามมาตรฐานด้านผลลัพธ์การเรียนรู้ตามกรอบมาตรฐานคุณวุฒิฯ</t>
  </si>
  <si>
    <t>ด้าน</t>
  </si>
  <si>
    <t>ประเด็นการประเมิน</t>
  </si>
  <si>
    <t>คะแนนเฉลี่ย(เต็ม 5.00)</t>
  </si>
  <si>
    <t>คะแนนเฉลี่ยเฉพาะด้าน(เต็ม5.0)</t>
  </si>
  <si>
    <t>1.คุณธรรม จริยธรรม</t>
  </si>
  <si>
    <t>2.ความรู้</t>
  </si>
  <si>
    <t>3.ทักษะทางปัญญา</t>
  </si>
  <si>
    <t>4.ทักษะความสัมพันธ์ระหว่างบุคคลและความรับผิดชอบ</t>
  </si>
  <si>
    <t>5.ทักษะการวิเคราะห์เชิงตัวเลข การสื่อสาร และการใช้เทคโนโลยีสารสนเทศ</t>
  </si>
  <si>
    <t>คะแนนเฉลี่ยการประเมินผลลัพธ์การเรียนรู้ทั้ง 5 ด้าน</t>
  </si>
  <si>
    <t>กรรมการ</t>
  </si>
  <si>
    <t>ตนเอง</t>
  </si>
  <si>
    <t>องค์ 2</t>
  </si>
  <si>
    <t>องค์ 3</t>
  </si>
  <si>
    <t>องค์ 4</t>
  </si>
  <si>
    <t>องค์ 5</t>
  </si>
  <si>
    <t>องค์ 6</t>
  </si>
  <si>
    <t>ตารางการวิเคราะห์คุณภาพการศึกษาภายใน ระดับหลักสูตร</t>
  </si>
  <si>
    <t>ตัวบ่งชี้ 2.1 คุณภาพบัณฑิตตามกรอบมาตรฐานคุณวุฒิระดับอุดมศึกษาแห่งชาติ และ
ด้านผลลัพธ์ผู้เรียนตามมาตรฐานการอุดมศึกษา พ.ศ.2561</t>
  </si>
  <si>
    <t xml:space="preserve">จำนวนอาจารย์ผู้รับผิดชอบหลักสูตรทั้งหมด </t>
  </si>
  <si>
    <t xml:space="preserve">จำนวนอาจารย์ผู้รับผิดชอบหลักสูตรที่มีคุณวุฒิปริญญาเอก </t>
  </si>
  <si>
    <t xml:space="preserve">ร้อยละของอาจารย์ผู้รับผิดชอบหลักสูตรที่มีคุณวุฒิปริญญาเอก </t>
  </si>
  <si>
    <t>จำนวนอาจารย์ผู้รับผิดชอบหลักสูตรที่ดำรงตำแหน่งอาจารย์</t>
  </si>
  <si>
    <t xml:space="preserve">จำนวนอาจารย์ผู้รับผิดชอบหลักสูตรที่ดำรงตำแหน่งผู้ช่วยศาสตราจารย์  </t>
  </si>
  <si>
    <t xml:space="preserve">จำนวนอาจารย์ผู้รับผิดชอบหลักสูตรที่ดำรงตำแหน่งรองศาสตราจารย์  </t>
  </si>
  <si>
    <t xml:space="preserve">จำนวนอาจารย์ผู้รับผิดชอบหลักสูตรที่ดำรงตำแหน่งศาสตราจารย์  </t>
  </si>
  <si>
    <t xml:space="preserve">จำนวนอาจารย์ผู้รับผิดชอบหลักสูตรที่ดำรงตำแหน่งทางวิชาการ </t>
  </si>
  <si>
    <t xml:space="preserve">ร้อยละของอาจารย์ผู้รับผิดชอบหลักสูตรที่ดำรงตำแหน่งทางวิชาการ </t>
  </si>
  <si>
    <t>เทียบบัญญัติไตรยางศ์  (หารด้วย ร้อยละของอาจารย์ผู้รับผิดชอบหลักสูตร</t>
  </si>
  <si>
    <t>ผลรวมถ่วงน้ำหนักของผลงานทางวิชาการของอาจารย์ผู้รับผิดชอบหลักสูตร</t>
  </si>
  <si>
    <t>ร้อยละของผลรวมถ่วงน้ำหนักของผลงานทางวิชาการของอาจารย์ผู้รับผิดชอบหลักสูตร</t>
  </si>
  <si>
    <t>ทางวิชาการของอาจารย์ผู้รับผิดชอบหลักสูตรที่กำหนดให้เป็นคะแนนเต็ม 5)</t>
  </si>
  <si>
    <t xml:space="preserve">หรือ SCOPUS ต่อจำนวนอาจารย์ผู้รับผิดชอบหลักสูตร
</t>
  </si>
  <si>
    <t>อัตราส่วนจำนวนบทความที่ได้รับการอ้างอิงต่อจำนวนอาจารย์ผู้รับผิดชอบหลักสูตร</t>
  </si>
  <si>
    <t xml:space="preserve">อ้างอิงต่อจำนวนอาจารย์ผู้รับผิดชอบหลักสูตรที่กำหนดให้เป็นคะแนนเต็ม 5 </t>
  </si>
  <si>
    <t>[7] จำนวนบัณฑิตที่ศึกษาต่อ</t>
  </si>
  <si>
    <t>[8] จำนวนบัณฑิตที่อุปสมบท</t>
  </si>
  <si>
    <t>[9] จำนวนบัณฑิตที่เกณฑ์ทหาร</t>
  </si>
  <si>
    <t>[10] จำนวนผู้สำเร็จการศึกษาที่มีงานทำก่อนเข้าศึกษา</t>
  </si>
  <si>
    <t xml:space="preserve">[1] จำนวนบัณฑิตทั้งหมด  </t>
  </si>
  <si>
    <r>
      <t>[6] จำนวนบัณฑิตที่ไม่ได้งานทำ</t>
    </r>
    <r>
      <rPr>
        <b/>
        <sz val="14"/>
        <color theme="1"/>
        <rFont val="Cordia New"/>
        <family val="2"/>
      </rPr>
      <t xml:space="preserve"> </t>
    </r>
  </si>
  <si>
    <t>[4] จำนวนบัณฑิตที่ได้งานทำหลังสำเร็จการศึกษา [ประกอบอาชีพอิสระ]</t>
  </si>
  <si>
    <t>[5] จำนวนบัณฑิตที่ได้งานทำหลังสำเร็จการศึกษา [ประกอบกิจการส่วนตัว/ธุรกิจครอบครัว]</t>
  </si>
  <si>
    <r>
      <t xml:space="preserve">[12] ผลลัพธ์ที่ได้ </t>
    </r>
    <r>
      <rPr>
        <b/>
        <sz val="14"/>
        <color rgb="FF000000"/>
        <rFont val="Cordia New"/>
        <family val="2"/>
      </rPr>
      <t>[11] x 5 / 100</t>
    </r>
  </si>
  <si>
    <r>
      <t xml:space="preserve">[11] ร้อยละที่ได้ </t>
    </r>
    <r>
      <rPr>
        <b/>
        <sz val="14"/>
        <color theme="1"/>
        <rFont val="Cordia New"/>
        <family val="2"/>
      </rPr>
      <t>((</t>
    </r>
    <r>
      <rPr>
        <b/>
        <sz val="14"/>
        <color rgb="FF000000"/>
        <rFont val="Cordia New"/>
        <family val="2"/>
      </rPr>
      <t xml:space="preserve">[3] + [4] + [5]) x 100) / ([2] – ([7]+[8]+[9]+[10])) </t>
    </r>
  </si>
  <si>
    <t>[3] จำนวนบัณฑิตที่ได้งานทำหลังสำเร็จการศึกษา [มีงานทำในองค์กร]</t>
  </si>
  <si>
    <t>นักศึกษาชั้นปีที่ 4 ที่เรียนต่อชั้นปีที่ 5 เฉลี่ย =</t>
  </si>
  <si>
    <t>นักศึกษาชั้นปีที่ 5 ที่เรียนต่อชั้นปีที่ 6 เฉลี่ย =</t>
  </si>
  <si>
    <t>กรอกคะแนนเฉลี่ยผลประเมินตาม TQF 5 และ DOE 3 ด้าน</t>
  </si>
  <si>
    <t>1.1 ความซื่อสัตย์สุจริต</t>
  </si>
  <si>
    <t>1.2 ความมีน้ำใจต่อเพื่อนร่วมงาน</t>
  </si>
  <si>
    <t>1.3 ความมีระเบียบวินัยในการทำงาน</t>
  </si>
  <si>
    <t>1.4 ความขยันอดทน อุตสาหะ</t>
  </si>
  <si>
    <t>1.5 การตรงต่อเวลา</t>
  </si>
  <si>
    <t>2.1 ความรู้ในสาขาวิชาที่เรียน</t>
  </si>
  <si>
    <t>2.2 ความสามารถในการวิเคราะห์ข้อมูล</t>
  </si>
  <si>
    <t>2.3 ความสามารถในการนำเสนองานที่ทำ</t>
  </si>
  <si>
    <t>2.4 ความรอบรู้ที่เกี่ยวข้องกับงานที่ทำ</t>
  </si>
  <si>
    <t>3.1 ความสามารถในการเรียนรู้ ศึกษาเพิ่มเติมเพื่อพัฒนางาน</t>
  </si>
  <si>
    <t>3.2 มีความคิดริเริ่ม สร้างสรรค์ผลงานใหม่</t>
  </si>
  <si>
    <t>3.3 ความรู้ ความสามารถในการตัดสินใจแก้ปัญหางานที่รับผิดชอบ</t>
  </si>
  <si>
    <t>3.4 การแสวงหาความรู้ใหม่ เพื่อใช้ในการปฏิบัติงาน</t>
  </si>
  <si>
    <t>4.1 ความสามารถในการทำงานเป็นทีม</t>
  </si>
  <si>
    <t>4.2 การแสดงออกซึ่งภาวะผู้นำ</t>
  </si>
  <si>
    <t>4.3 ความรับผิดชอบต่องานที่ทำ</t>
  </si>
  <si>
    <t>4.4 ความสามารถในการบริหารจัดการ</t>
  </si>
  <si>
    <t>5.1 ความสามารถในการคิดวิเคราะห์เชิงตัวเลข</t>
  </si>
  <si>
    <t>5.2 การใช้เทคนิคทางคณิตศาสตร์/สถิติ กับงานที่ทำ</t>
  </si>
  <si>
    <t>5.3 ทักษะในการสื่อสารและประสานงาน</t>
  </si>
  <si>
    <t>5.4 ทักษะในการใช้อุปกรณ์/เทคโนโลยี/คอมพิวเตอร์</t>
  </si>
  <si>
    <t>กรอกคะแนนเฉลี่ยผลประเมินตาม DOE</t>
  </si>
  <si>
    <t>1.การเป็นผู้เรียนรู้</t>
  </si>
  <si>
    <t>1.1 เป็นผู้ใฝ่เรียนรู้เพื่อพัฒนาคุณภาพการทำงานและคุณภาพชีวิตที่ดี</t>
  </si>
  <si>
    <t>1.2 ทักษะในการเรียนรู้ตลอดชีวิต</t>
  </si>
  <si>
    <t>1.3 เป็นบุคคลที่มีความรู้ความสามารถ และความรอบรู้ด้านต่างๆ ในการสร้างหรือประกอบสัมมาอาชีพ ความมั่นคงและคุณภาพชีวิตของตนเอง</t>
  </si>
  <si>
    <t>2.การเป็นผู้ร่วมสร้างนวัตกรรม</t>
  </si>
  <si>
    <t>2.1 เป็นผู้มีความสามารถในการบูรณาการศาสตร์ต่างๆในการแก้ปัญหา</t>
  </si>
  <si>
    <t>2.2 เป็นผู้มีลักษณะของความเป็นผู้ประกอบการ 
ที่รู้เท่าทันการเปลี่ยนแปลงของสังคมโลก</t>
  </si>
  <si>
    <t>2.3 เป็นผู้สร้างโอกาสและเพิ่มมูลค่าให้กับตนเองและองค์กร</t>
  </si>
  <si>
    <t>3.การเป็นพลเมืองที่เข้มแข็ง</t>
  </si>
  <si>
    <t>3.1 มีความกล้าหาญทางจริยธรรม ยึดมั่น
ในความถูกต้อง</t>
  </si>
  <si>
    <t>3.2 มีความร่วมมือร่วมพลังเพื่อสร้างสรรค์การพัฒนาและการสร้างสันติสุข</t>
  </si>
  <si>
    <t>คะแนนเฉลี่ยการประเมิน DOE ทั้ง 3 ด้าน</t>
  </si>
  <si>
    <r>
      <t>** สูตร เท่ากับ Sum(ร้อยละ)*5/</t>
    </r>
    <r>
      <rPr>
        <sz val="14"/>
        <color rgb="FFFF0000"/>
        <rFont val="Cordia New"/>
        <family val="2"/>
      </rPr>
      <t>20</t>
    </r>
    <r>
      <rPr>
        <sz val="14"/>
        <color theme="1"/>
        <rFont val="Cordia New"/>
        <family val="2"/>
      </rPr>
      <t xml:space="preserve"> แก้สูตรตัวหารตามเงื่อนไข </t>
    </r>
  </si>
  <si>
    <t>4.2.1 ร้อยละของอาจารย์ผู้รับผิดชอบหลักสูตรที่มีคุณวุฒิปริญญาเอก</t>
  </si>
  <si>
    <t xml:space="preserve">4.2.2 ร้อยละของอาจารย์ผู้รับผิดชอบหลักสูตรที่ดำรงตำแหน่งทางวิชาการ  </t>
  </si>
  <si>
    <t>4.2.3 ผลงานวิชาการของอาจารย์ผู้รับผิดชอบหลักสูตร</t>
  </si>
  <si>
    <t>เกิน 5 ถือเป็น 5 คะแนน</t>
  </si>
  <si>
    <t>สรุปคะแนนแต่ละตัวบ่งชี้ ต้องทำคู่กันไปตามแต่ละตัวบ่งชี้</t>
  </si>
  <si>
    <t>4.2.1 
เอก</t>
  </si>
  <si>
    <t>4.2.2 
ตำแหน่ง</t>
  </si>
  <si>
    <t>4.2.3 
ผลงาน</t>
  </si>
  <si>
    <t>4.2.4 
citation(ป.เอก)</t>
  </si>
  <si>
    <t>ข้อมูลดิบ</t>
  </si>
  <si>
    <t>สูตร</t>
  </si>
  <si>
    <r>
      <t xml:space="preserve">ตามกรอบมาตรฐานคุณวุฒิระดับอุดมศึกษาแห่งชาติ  </t>
    </r>
    <r>
      <rPr>
        <sz val="14"/>
        <color rgb="FFFF0000"/>
        <rFont val="Cordia New"/>
        <family val="2"/>
      </rPr>
      <t xml:space="preserve">(อย่างน้อยร้อยละ 20) </t>
    </r>
  </si>
  <si>
    <r>
      <t xml:space="preserve">[2] จำนวนบัณฑิตที่ตอบแบบสำรวจ </t>
    </r>
    <r>
      <rPr>
        <sz val="14"/>
        <color rgb="FFFF0000"/>
        <rFont val="Cordia New"/>
        <family val="2"/>
      </rPr>
      <t xml:space="preserve">(ไม่น้อยกว่าร้อยละ 70 ของผู้สำเร็จการศึกษา) </t>
    </r>
  </si>
  <si>
    <t>[3] ถึง [10] บวกกันต้องได้เท่ากับข้อ [2]</t>
  </si>
  <si>
    <t>ต้องได้มากกว่าร้อยละ 20</t>
  </si>
  <si>
    <t>กลุ่มสาขาวิชามนุษยศาสตร์และสังคมศาสตร์</t>
  </si>
  <si>
    <t>บัณฑิตที่จบภาคการศึกษา  1/2564 , 2/2564 และ S/2565</t>
  </si>
  <si>
    <t xml:space="preserve">ผลรวมถ่วงน้ำหนักของผลงานที่ตีพิมพ์หรือเผยแพร่ของนักศึกษา และผู้สำเร็จการศึกษาระดับปริญญาโท </t>
  </si>
  <si>
    <t>ผลรวมถ่วงน้ำหนักของผลงานที่ตีพิมพ์หรือเผยแพร่ของนักศึกษา และผู้สำเร็จการศึกษาระดับปริญญาเอก</t>
  </si>
  <si>
    <t>จำนวนที่คงอยู่สิ้นปีการศึกษา 2565</t>
  </si>
  <si>
    <t>จำนวนที่ออกระหว่างเรียนจนสิ้นปีการศึกษา 2565   (4)</t>
  </si>
  <si>
    <t>สีเขียว คือ แนวโน้มอัตราสำเร็จ</t>
  </si>
  <si>
    <t>ม่วง คือ แนวโน้มอัตราคงอยู่</t>
  </si>
  <si>
    <t xml:space="preserve">กรอกข้อมูลเฉพาะคอลัมน์ B , C, D, E และ H </t>
  </si>
  <si>
    <t>***ตัวเลขสีน้ำเงินคือสูตร</t>
  </si>
  <si>
    <t>***ตัวอักษรสีน้ำเงินคือสูตร</t>
  </si>
  <si>
    <t>ตรี,โท</t>
  </si>
  <si>
    <t>เอก</t>
  </si>
  <si>
    <r>
      <t>** สูตร เท่ากับ Sum(ร้อยละ)*5/</t>
    </r>
    <r>
      <rPr>
        <sz val="14"/>
        <color rgb="FFFF0000"/>
        <rFont val="Cordia New"/>
        <family val="2"/>
      </rPr>
      <t>60</t>
    </r>
    <r>
      <rPr>
        <sz val="14"/>
        <color theme="1"/>
        <rFont val="Cordia New"/>
        <family val="2"/>
      </rPr>
      <t xml:space="preserve"> แก้สูตรตัวหารตามเงื่อนไข </t>
    </r>
  </si>
  <si>
    <t>** สูตร เท่ากับ (ป.เอก*100)/ทั้งหมด</t>
  </si>
  <si>
    <r>
      <t>จำนวนบทความของ</t>
    </r>
    <r>
      <rPr>
        <b/>
        <sz val="14"/>
        <color theme="3"/>
        <rFont val="Cordia New"/>
        <family val="2"/>
      </rPr>
      <t>อาจารย์ผู้รับผิดชอบหลักสูตรปริญญาเอก</t>
    </r>
    <r>
      <rPr>
        <b/>
        <sz val="14"/>
        <color rgb="FFFF0000"/>
        <rFont val="Cordia New"/>
        <family val="2"/>
      </rPr>
      <t xml:space="preserve">ที่ได้รับการอ้างอิงในฐานข้อมูลของ TCI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</si>
</sst>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1" x14ac:knownFonts="1">
    <font>
      <sz val="11"/>
      <color theme="1"/>
      <name val="Calibri"/>
      <family val="2"/>
      <scheme val="minor"/>
    </font>
    <font>
      <b/>
      <sz val="16"/>
      <color theme="1"/>
      <name val="Cordia New"/>
      <family val="2"/>
    </font>
    <font>
      <b/>
      <sz val="14"/>
      <color theme="1"/>
      <name val="Cordia New"/>
      <family val="2"/>
    </font>
    <font>
      <sz val="14"/>
      <color rgb="FFFF0000"/>
      <name val="Cordia New"/>
      <family val="2"/>
    </font>
    <font>
      <sz val="14"/>
      <color theme="1"/>
      <name val="Cordia New"/>
      <family val="2"/>
    </font>
    <font>
      <b/>
      <sz val="16"/>
      <color rgb="FFFF0000"/>
      <name val="Cordia New"/>
      <family val="2"/>
    </font>
    <font>
      <sz val="14"/>
      <name val="Cordia New"/>
      <family val="2"/>
    </font>
    <font>
      <sz val="14"/>
      <color theme="0"/>
      <name val="Cordia New"/>
      <family val="2"/>
    </font>
    <font>
      <b/>
      <sz val="14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color theme="1"/>
      <name val="Cordia New"/>
      <family val="2"/>
    </font>
    <font>
      <b/>
      <sz val="16"/>
      <name val="Cordia New"/>
      <family val="2"/>
    </font>
    <font>
      <sz val="16"/>
      <name val="Cordia New"/>
      <family val="2"/>
    </font>
    <font>
      <b/>
      <sz val="16"/>
      <color theme="2" tint="-0.89999084444715716"/>
      <name val="Cordia New"/>
      <family val="2"/>
    </font>
    <font>
      <sz val="10"/>
      <color theme="1"/>
      <name val="Calibri"/>
      <family val="2"/>
      <scheme val="minor"/>
    </font>
    <font>
      <sz val="12"/>
      <color theme="1"/>
      <name val="Cordia New"/>
      <family val="2"/>
    </font>
    <font>
      <sz val="11"/>
      <color rgb="FFFF0000"/>
      <name val="Calibri"/>
      <family val="2"/>
      <scheme val="minor"/>
    </font>
    <font>
      <sz val="16"/>
      <color rgb="FFFF0000"/>
      <name val="Cordia New"/>
      <family val="2"/>
    </font>
    <font>
      <b/>
      <sz val="22"/>
      <color rgb="FFFF0000"/>
      <name val="Calibri"/>
      <family val="2"/>
      <scheme val="minor"/>
    </font>
    <font>
      <sz val="14"/>
      <color theme="1"/>
      <name val="Cordia New"/>
      <family val="2"/>
      <charset val="222"/>
    </font>
    <font>
      <b/>
      <sz val="14"/>
      <color theme="1"/>
      <name val="Cordia New"/>
      <family val="2"/>
      <charset val="222"/>
    </font>
    <font>
      <b/>
      <sz val="14"/>
      <color rgb="FF000000"/>
      <name val="Cordia New"/>
      <family val="2"/>
    </font>
    <font>
      <sz val="14"/>
      <name val="Cordia New"/>
      <family val="2"/>
      <charset val="222"/>
    </font>
    <font>
      <sz val="14"/>
      <name val="Angsana New"/>
      <family val="1"/>
      <charset val="222"/>
    </font>
    <font>
      <sz val="16"/>
      <color rgb="FF0000FF"/>
      <name val="Cordia New"/>
      <family val="2"/>
    </font>
    <font>
      <b/>
      <sz val="16"/>
      <color rgb="FF0000FF"/>
      <name val="Cordia New"/>
      <family val="2"/>
    </font>
    <font>
      <b/>
      <sz val="14"/>
      <color theme="3"/>
      <name val="Cordia New"/>
      <family val="2"/>
    </font>
    <font>
      <b/>
      <sz val="14"/>
      <color rgb="FF0000FF"/>
      <name val="Cordia New"/>
      <family val="2"/>
    </font>
    <font>
      <b/>
      <sz val="14"/>
      <color rgb="FF0000FF"/>
      <name val="Cordia New"/>
      <family val="2"/>
      <charset val="222"/>
    </font>
    <font>
      <b/>
      <sz val="22"/>
      <color theme="1"/>
      <name val="Cordia New"/>
      <family val="2"/>
    </font>
    <font>
      <b/>
      <sz val="14"/>
      <name val="Cordia New"/>
      <family val="2"/>
    </font>
  </fonts>
  <fills count="3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D1D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CDFF"/>
        <bgColor indexed="64"/>
      </patternFill>
    </fill>
    <fill>
      <patternFill patternType="solid">
        <fgColor rgb="FFD5EA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9" fillId="7" borderId="1" applyFill="0" applyBorder="0">
      <alignment horizontal="center" vertical="center"/>
    </xf>
  </cellStyleXfs>
  <cellXfs count="4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2" fillId="2" borderId="3" xfId="0" applyFont="1" applyFill="1" applyBorder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2" fillId="2" borderId="2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/>
    </xf>
    <xf numFmtId="2" fontId="4" fillId="4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4" fillId="4" borderId="1" xfId="0" applyFont="1" applyFill="1" applyBorder="1"/>
    <xf numFmtId="0" fontId="4" fillId="7" borderId="0" xfId="0" applyFont="1" applyFill="1"/>
    <xf numFmtId="2" fontId="4" fillId="7" borderId="0" xfId="0" applyNumberFormat="1" applyFont="1" applyFill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2" fontId="4" fillId="9" borderId="1" xfId="0" applyNumberFormat="1" applyFont="1" applyFill="1" applyBorder="1" applyAlignment="1">
      <alignment horizontal="center"/>
    </xf>
    <xf numFmtId="0" fontId="4" fillId="8" borderId="1" xfId="0" applyFont="1" applyFill="1" applyBorder="1"/>
    <xf numFmtId="0" fontId="4" fillId="9" borderId="1" xfId="0" applyFont="1" applyFill="1" applyBorder="1"/>
    <xf numFmtId="0" fontId="4" fillId="11" borderId="4" xfId="0" applyFont="1" applyFill="1" applyBorder="1"/>
    <xf numFmtId="0" fontId="4" fillId="11" borderId="5" xfId="0" applyFont="1" applyFill="1" applyBorder="1"/>
    <xf numFmtId="0" fontId="4" fillId="11" borderId="6" xfId="0" applyFont="1" applyFill="1" applyBorder="1"/>
    <xf numFmtId="0" fontId="2" fillId="2" borderId="2" xfId="0" applyFont="1" applyFill="1" applyBorder="1" applyAlignment="1">
      <alignment horizontal="left"/>
    </xf>
    <xf numFmtId="0" fontId="4" fillId="2" borderId="8" xfId="0" applyFont="1" applyFill="1" applyBorder="1"/>
    <xf numFmtId="0" fontId="4" fillId="0" borderId="7" xfId="0" applyFont="1" applyBorder="1"/>
    <xf numFmtId="0" fontId="4" fillId="7" borderId="2" xfId="0" applyFont="1" applyFill="1" applyBorder="1"/>
    <xf numFmtId="0" fontId="4" fillId="7" borderId="7" xfId="0" applyFont="1" applyFill="1" applyBorder="1"/>
    <xf numFmtId="0" fontId="4" fillId="2" borderId="2" xfId="0" applyFont="1" applyFill="1" applyBorder="1"/>
    <xf numFmtId="0" fontId="6" fillId="0" borderId="0" xfId="0" applyFont="1"/>
    <xf numFmtId="2" fontId="4" fillId="16" borderId="1" xfId="0" applyNumberFormat="1" applyFont="1" applyFill="1" applyBorder="1" applyAlignment="1">
      <alignment horizontal="center"/>
    </xf>
    <xf numFmtId="2" fontId="4" fillId="17" borderId="1" xfId="0" applyNumberFormat="1" applyFont="1" applyFill="1" applyBorder="1" applyAlignment="1">
      <alignment horizontal="center"/>
    </xf>
    <xf numFmtId="0" fontId="2" fillId="2" borderId="2" xfId="0" applyFont="1" applyFill="1" applyBorder="1"/>
    <xf numFmtId="0" fontId="4" fillId="16" borderId="1" xfId="0" applyFont="1" applyFill="1" applyBorder="1"/>
    <xf numFmtId="0" fontId="4" fillId="17" borderId="1" xfId="0" applyFont="1" applyFill="1" applyBorder="1"/>
    <xf numFmtId="0" fontId="2" fillId="2" borderId="3" xfId="0" applyFont="1" applyFill="1" applyBorder="1" applyAlignment="1">
      <alignment horizontal="left"/>
    </xf>
    <xf numFmtId="0" fontId="4" fillId="18" borderId="4" xfId="0" applyFont="1" applyFill="1" applyBorder="1"/>
    <xf numFmtId="0" fontId="4" fillId="18" borderId="5" xfId="0" applyFont="1" applyFill="1" applyBorder="1"/>
    <xf numFmtId="0" fontId="4" fillId="18" borderId="6" xfId="0" applyFont="1" applyFill="1" applyBorder="1"/>
    <xf numFmtId="0" fontId="2" fillId="2" borderId="10" xfId="0" applyFont="1" applyFill="1" applyBorder="1"/>
    <xf numFmtId="0" fontId="4" fillId="2" borderId="11" xfId="0" applyFont="1" applyFill="1" applyBorder="1"/>
    <xf numFmtId="0" fontId="8" fillId="0" borderId="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2" fillId="0" borderId="0" xfId="0" applyFont="1"/>
    <xf numFmtId="0" fontId="11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7" borderId="0" xfId="0" applyFont="1" applyFill="1" applyAlignment="1">
      <alignment horizontal="center"/>
    </xf>
    <xf numFmtId="0" fontId="1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17" borderId="1" xfId="0" applyFont="1" applyFill="1" applyBorder="1" applyAlignment="1">
      <alignment horizontal="center"/>
    </xf>
    <xf numFmtId="2" fontId="12" fillId="0" borderId="1" xfId="0" applyNumberFormat="1" applyFont="1" applyBorder="1" applyAlignment="1">
      <alignment horizontal="center"/>
    </xf>
    <xf numFmtId="0" fontId="12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0" fontId="11" fillId="20" borderId="15" xfId="0" applyFont="1" applyFill="1" applyBorder="1" applyAlignment="1">
      <alignment horizontal="center" vertical="center"/>
    </xf>
    <xf numFmtId="0" fontId="11" fillId="20" borderId="7" xfId="0" applyFont="1" applyFill="1" applyBorder="1" applyAlignment="1">
      <alignment horizontal="center" vertical="center"/>
    </xf>
    <xf numFmtId="0" fontId="11" fillId="20" borderId="9" xfId="0" applyFont="1" applyFill="1" applyBorder="1" applyAlignment="1">
      <alignment horizontal="center" vertical="center"/>
    </xf>
    <xf numFmtId="0" fontId="11" fillId="20" borderId="8" xfId="0" applyFont="1" applyFill="1" applyBorder="1" applyAlignment="1">
      <alignment horizontal="center" vertical="center"/>
    </xf>
    <xf numFmtId="0" fontId="11" fillId="20" borderId="1" xfId="0" applyFont="1" applyFill="1" applyBorder="1" applyAlignment="1">
      <alignment horizontal="center"/>
    </xf>
    <xf numFmtId="2" fontId="11" fillId="20" borderId="6" xfId="0" applyNumberFormat="1" applyFont="1" applyFill="1" applyBorder="1" applyAlignment="1">
      <alignment horizontal="center"/>
    </xf>
    <xf numFmtId="0" fontId="12" fillId="20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0" fontId="12" fillId="20" borderId="3" xfId="0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/>
    </xf>
    <xf numFmtId="0" fontId="0" fillId="15" borderId="0" xfId="0" applyFill="1"/>
    <xf numFmtId="0" fontId="0" fillId="0" borderId="16" xfId="0" applyBorder="1"/>
    <xf numFmtId="0" fontId="0" fillId="0" borderId="0" xfId="0" quotePrefix="1" applyAlignment="1">
      <alignment horizontal="center"/>
    </xf>
    <xf numFmtId="0" fontId="0" fillId="0" borderId="0" xfId="0" applyAlignment="1">
      <alignment horizontal="center"/>
    </xf>
    <xf numFmtId="0" fontId="0" fillId="0" borderId="27" xfId="0" applyBorder="1"/>
    <xf numFmtId="0" fontId="0" fillId="0" borderId="17" xfId="0" applyBorder="1"/>
    <xf numFmtId="0" fontId="0" fillId="0" borderId="18" xfId="0" applyBorder="1"/>
    <xf numFmtId="0" fontId="0" fillId="21" borderId="24" xfId="0" applyFill="1" applyBorder="1"/>
    <xf numFmtId="0" fontId="0" fillId="21" borderId="25" xfId="0" applyFill="1" applyBorder="1"/>
    <xf numFmtId="0" fontId="0" fillId="21" borderId="26" xfId="0" applyFill="1" applyBorder="1"/>
    <xf numFmtId="0" fontId="0" fillId="18" borderId="0" xfId="0" applyFill="1"/>
    <xf numFmtId="164" fontId="0" fillId="0" borderId="9" xfId="0" applyNumberFormat="1" applyBorder="1" applyAlignment="1">
      <alignment horizontal="center"/>
    </xf>
    <xf numFmtId="0" fontId="0" fillId="0" borderId="9" xfId="0" quotePrefix="1" applyBorder="1" applyAlignment="1">
      <alignment horizontal="center"/>
    </xf>
    <xf numFmtId="0" fontId="0" fillId="22" borderId="0" xfId="0" applyFill="1"/>
    <xf numFmtId="0" fontId="10" fillId="23" borderId="30" xfId="0" applyFont="1" applyFill="1" applyBorder="1" applyAlignment="1">
      <alignment horizontal="center" vertical="center" wrapText="1"/>
    </xf>
    <xf numFmtId="0" fontId="10" fillId="23" borderId="18" xfId="0" applyFont="1" applyFill="1" applyBorder="1" applyAlignment="1">
      <alignment horizontal="center" vertical="center" wrapText="1"/>
    </xf>
    <xf numFmtId="0" fontId="15" fillId="23" borderId="29" xfId="0" applyFont="1" applyFill="1" applyBorder="1" applyAlignment="1">
      <alignment horizontal="center" vertical="center" wrapText="1"/>
    </xf>
    <xf numFmtId="0" fontId="10" fillId="23" borderId="34" xfId="0" quotePrefix="1" applyFont="1" applyFill="1" applyBorder="1" applyAlignment="1">
      <alignment horizontal="center" vertical="center" wrapText="1"/>
    </xf>
    <xf numFmtId="0" fontId="4" fillId="23" borderId="29" xfId="0" applyFont="1" applyFill="1" applyBorder="1" applyAlignment="1">
      <alignment vertical="center" wrapText="1"/>
    </xf>
    <xf numFmtId="0" fontId="10" fillId="23" borderId="29" xfId="0" applyFont="1" applyFill="1" applyBorder="1" applyAlignment="1">
      <alignment horizontal="center" vertical="center" wrapText="1"/>
    </xf>
    <xf numFmtId="0" fontId="0" fillId="23" borderId="34" xfId="0" applyFill="1" applyBorder="1" applyAlignment="1">
      <alignment vertical="top" wrapText="1"/>
    </xf>
    <xf numFmtId="0" fontId="10" fillId="23" borderId="29" xfId="0" applyFont="1" applyFill="1" applyBorder="1" applyAlignment="1">
      <alignment vertical="center" wrapText="1"/>
    </xf>
    <xf numFmtId="0" fontId="10" fillId="7" borderId="36" xfId="0" applyFont="1" applyFill="1" applyBorder="1" applyAlignment="1">
      <alignment horizontal="center" vertical="center" wrapText="1"/>
    </xf>
    <xf numFmtId="0" fontId="10" fillId="10" borderId="36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0" fillId="7" borderId="0" xfId="0" applyFill="1"/>
    <xf numFmtId="0" fontId="10" fillId="7" borderId="37" xfId="0" applyFont="1" applyFill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16" fillId="0" borderId="0" xfId="0" applyFont="1"/>
    <xf numFmtId="0" fontId="0" fillId="0" borderId="28" xfId="0" applyBorder="1"/>
    <xf numFmtId="0" fontId="0" fillId="27" borderId="24" xfId="0" applyFill="1" applyBorder="1"/>
    <xf numFmtId="0" fontId="0" fillId="27" borderId="25" xfId="0" applyFill="1" applyBorder="1"/>
    <xf numFmtId="0" fontId="0" fillId="27" borderId="26" xfId="0" applyFill="1" applyBorder="1"/>
    <xf numFmtId="0" fontId="10" fillId="29" borderId="1" xfId="0" applyFont="1" applyFill="1" applyBorder="1" applyAlignment="1">
      <alignment horizontal="center"/>
    </xf>
    <xf numFmtId="0" fontId="10" fillId="29" borderId="1" xfId="0" applyFont="1" applyFill="1" applyBorder="1"/>
    <xf numFmtId="2" fontId="12" fillId="7" borderId="1" xfId="0" applyNumberFormat="1" applyFont="1" applyFill="1" applyBorder="1" applyAlignment="1">
      <alignment horizontal="center"/>
    </xf>
    <xf numFmtId="0" fontId="1" fillId="29" borderId="1" xfId="0" applyFont="1" applyFill="1" applyBorder="1" applyAlignment="1">
      <alignment horizontal="center"/>
    </xf>
    <xf numFmtId="0" fontId="1" fillId="30" borderId="1" xfId="0" applyFont="1" applyFill="1" applyBorder="1" applyAlignment="1">
      <alignment horizontal="center"/>
    </xf>
    <xf numFmtId="0" fontId="1" fillId="31" borderId="1" xfId="0" applyFont="1" applyFill="1" applyBorder="1" applyAlignment="1">
      <alignment horizontal="center"/>
    </xf>
    <xf numFmtId="0" fontId="10" fillId="31" borderId="1" xfId="0" applyFont="1" applyFill="1" applyBorder="1" applyAlignment="1">
      <alignment horizontal="center"/>
    </xf>
    <xf numFmtId="0" fontId="11" fillId="29" borderId="1" xfId="0" applyFont="1" applyFill="1" applyBorder="1" applyAlignment="1">
      <alignment horizontal="center"/>
    </xf>
    <xf numFmtId="0" fontId="11" fillId="30" borderId="1" xfId="0" applyFont="1" applyFill="1" applyBorder="1" applyAlignment="1">
      <alignment horizontal="center"/>
    </xf>
    <xf numFmtId="0" fontId="12" fillId="31" borderId="1" xfId="0" applyFont="1" applyFill="1" applyBorder="1" applyAlignment="1">
      <alignment horizontal="center"/>
    </xf>
    <xf numFmtId="0" fontId="0" fillId="7" borderId="25" xfId="0" applyFill="1" applyBorder="1"/>
    <xf numFmtId="0" fontId="0" fillId="0" borderId="40" xfId="0" applyBorder="1"/>
    <xf numFmtId="0" fontId="0" fillId="0" borderId="11" xfId="0" applyBorder="1"/>
    <xf numFmtId="0" fontId="19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20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4" xfId="0" applyFont="1" applyBorder="1" applyAlignment="1">
      <alignment vertical="center" wrapText="1"/>
    </xf>
    <xf numFmtId="0" fontId="20" fillId="0" borderId="1" xfId="0" applyFont="1" applyBorder="1" applyAlignment="1">
      <alignment vertical="center"/>
    </xf>
    <xf numFmtId="0" fontId="12" fillId="0" borderId="0" xfId="0" applyFont="1" applyAlignment="1">
      <alignment horizontal="center"/>
    </xf>
    <xf numFmtId="0" fontId="11" fillId="0" borderId="14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14" fillId="0" borderId="0" xfId="0" applyFont="1" applyAlignment="1">
      <alignment horizontal="right"/>
    </xf>
    <xf numFmtId="0" fontId="0" fillId="7" borderId="24" xfId="0" applyFill="1" applyBorder="1"/>
    <xf numFmtId="0" fontId="0" fillId="27" borderId="16" xfId="0" applyFill="1" applyBorder="1"/>
    <xf numFmtId="0" fontId="0" fillId="9" borderId="0" xfId="0" applyFill="1"/>
    <xf numFmtId="0" fontId="0" fillId="5" borderId="0" xfId="0" applyFill="1"/>
    <xf numFmtId="0" fontId="0" fillId="0" borderId="9" xfId="0" quotePrefix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9" xfId="0" applyNumberFormat="1" applyBorder="1" applyAlignment="1">
      <alignment horizontal="center"/>
    </xf>
    <xf numFmtId="2" fontId="0" fillId="0" borderId="9" xfId="0" applyNumberFormat="1" applyBorder="1" applyAlignment="1">
      <alignment horizontal="center" vertical="center"/>
    </xf>
    <xf numFmtId="2" fontId="0" fillId="7" borderId="9" xfId="0" applyNumberFormat="1" applyFill="1" applyBorder="1" applyAlignment="1">
      <alignment horizontal="center" vertical="center"/>
    </xf>
    <xf numFmtId="1" fontId="0" fillId="27" borderId="25" xfId="0" applyNumberFormat="1" applyFill="1" applyBorder="1"/>
    <xf numFmtId="1" fontId="0" fillId="21" borderId="25" xfId="0" applyNumberFormat="1" applyFill="1" applyBorder="1"/>
    <xf numFmtId="1" fontId="0" fillId="21" borderId="26" xfId="0" applyNumberFormat="1" applyFill="1" applyBorder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center" wrapText="1"/>
    </xf>
    <xf numFmtId="0" fontId="16" fillId="0" borderId="19" xfId="0" applyFont="1" applyBorder="1"/>
    <xf numFmtId="0" fontId="16" fillId="21" borderId="21" xfId="0" applyFont="1" applyFill="1" applyBorder="1"/>
    <xf numFmtId="2" fontId="16" fillId="21" borderId="22" xfId="0" applyNumberFormat="1" applyFont="1" applyFill="1" applyBorder="1"/>
    <xf numFmtId="2" fontId="16" fillId="22" borderId="22" xfId="0" applyNumberFormat="1" applyFont="1" applyFill="1" applyBorder="1"/>
    <xf numFmtId="2" fontId="16" fillId="21" borderId="23" xfId="0" applyNumberFormat="1" applyFont="1" applyFill="1" applyBorder="1"/>
    <xf numFmtId="0" fontId="16" fillId="21" borderId="22" xfId="0" applyFont="1" applyFill="1" applyBorder="1"/>
    <xf numFmtId="2" fontId="16" fillId="15" borderId="22" xfId="0" applyNumberFormat="1" applyFont="1" applyFill="1" applyBorder="1"/>
    <xf numFmtId="2" fontId="16" fillId="18" borderId="22" xfId="0" applyNumberFormat="1" applyFont="1" applyFill="1" applyBorder="1"/>
    <xf numFmtId="2" fontId="0" fillId="32" borderId="0" xfId="0" applyNumberFormat="1" applyFill="1"/>
    <xf numFmtId="2" fontId="0" fillId="15" borderId="0" xfId="0" applyNumberFormat="1" applyFill="1"/>
    <xf numFmtId="2" fontId="0" fillId="22" borderId="0" xfId="0" applyNumberFormat="1" applyFill="1"/>
    <xf numFmtId="164" fontId="25" fillId="24" borderId="36" xfId="0" applyNumberFormat="1" applyFont="1" applyFill="1" applyBorder="1" applyAlignment="1">
      <alignment horizontal="center" vertical="center" wrapText="1"/>
    </xf>
    <xf numFmtId="0" fontId="25" fillId="7" borderId="36" xfId="0" applyFont="1" applyFill="1" applyBorder="1" applyAlignment="1">
      <alignment horizontal="center" vertical="top" wrapText="1"/>
    </xf>
    <xf numFmtId="164" fontId="25" fillId="24" borderId="37" xfId="0" applyNumberFormat="1" applyFont="1" applyFill="1" applyBorder="1" applyAlignment="1">
      <alignment horizontal="center" vertical="center" wrapText="1"/>
    </xf>
    <xf numFmtId="164" fontId="25" fillId="0" borderId="37" xfId="0" applyNumberFormat="1" applyFont="1" applyBorder="1" applyAlignment="1">
      <alignment horizontal="center" vertical="center" wrapText="1"/>
    </xf>
    <xf numFmtId="164" fontId="25" fillId="0" borderId="38" xfId="0" applyNumberFormat="1" applyFont="1" applyBorder="1" applyAlignment="1">
      <alignment horizontal="center" vertical="center" wrapText="1"/>
    </xf>
    <xf numFmtId="164" fontId="25" fillId="26" borderId="32" xfId="0" applyNumberFormat="1" applyFont="1" applyFill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164" fontId="25" fillId="16" borderId="39" xfId="0" applyNumberFormat="1" applyFont="1" applyFill="1" applyBorder="1" applyAlignment="1">
      <alignment horizontal="center" vertical="center" wrapText="1"/>
    </xf>
    <xf numFmtId="164" fontId="25" fillId="25" borderId="36" xfId="0" applyNumberFormat="1" applyFont="1" applyFill="1" applyBorder="1" applyAlignment="1">
      <alignment horizontal="center" vertical="center" wrapText="1"/>
    </xf>
    <xf numFmtId="164" fontId="25" fillId="25" borderId="37" xfId="0" applyNumberFormat="1" applyFont="1" applyFill="1" applyBorder="1" applyAlignment="1">
      <alignment horizontal="center" vertical="center" wrapText="1"/>
    </xf>
    <xf numFmtId="164" fontId="25" fillId="7" borderId="37" xfId="0" applyNumberFormat="1" applyFont="1" applyFill="1" applyBorder="1" applyAlignment="1">
      <alignment horizontal="center" vertical="center" wrapText="1"/>
    </xf>
    <xf numFmtId="164" fontId="25" fillId="7" borderId="38" xfId="0" applyNumberFormat="1" applyFont="1" applyFill="1" applyBorder="1" applyAlignment="1">
      <alignment horizontal="center" vertical="center" wrapText="1"/>
    </xf>
    <xf numFmtId="0" fontId="0" fillId="33" borderId="0" xfId="0" applyFill="1"/>
    <xf numFmtId="0" fontId="0" fillId="25" borderId="0" xfId="0" applyFill="1"/>
    <xf numFmtId="0" fontId="22" fillId="4" borderId="1" xfId="0" applyFont="1" applyFill="1" applyBorder="1" applyAlignment="1">
      <alignment horizontal="center" vertical="center"/>
    </xf>
    <xf numFmtId="0" fontId="25" fillId="0" borderId="31" xfId="0" applyFont="1" applyBorder="1" applyAlignment="1">
      <alignment horizontal="center" vertical="center" wrapText="1"/>
    </xf>
    <xf numFmtId="2" fontId="25" fillId="16" borderId="39" xfId="0" applyNumberFormat="1" applyFont="1" applyFill="1" applyBorder="1" applyAlignment="1">
      <alignment horizontal="center" vertical="center" wrapText="1"/>
    </xf>
    <xf numFmtId="2" fontId="25" fillId="29" borderId="1" xfId="0" applyNumberFormat="1" applyFont="1" applyFill="1" applyBorder="1" applyAlignment="1">
      <alignment horizontal="center"/>
    </xf>
    <xf numFmtId="2" fontId="25" fillId="30" borderId="1" xfId="0" applyNumberFormat="1" applyFont="1" applyFill="1" applyBorder="1" applyAlignment="1">
      <alignment horizontal="center" vertical="center"/>
    </xf>
    <xf numFmtId="0" fontId="25" fillId="30" borderId="2" xfId="0" applyFont="1" applyFill="1" applyBorder="1" applyAlignment="1">
      <alignment horizontal="center"/>
    </xf>
    <xf numFmtId="0" fontId="25" fillId="30" borderId="2" xfId="0" applyFont="1" applyFill="1" applyBorder="1"/>
    <xf numFmtId="0" fontId="13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64" fontId="0" fillId="18" borderId="0" xfId="0" applyNumberFormat="1" applyFill="1"/>
    <xf numFmtId="164" fontId="0" fillId="15" borderId="0" xfId="0" applyNumberFormat="1" applyFill="1"/>
    <xf numFmtId="2" fontId="0" fillId="18" borderId="0" xfId="0" applyNumberFormat="1" applyFill="1"/>
    <xf numFmtId="2" fontId="0" fillId="27" borderId="0" xfId="0" applyNumberFormat="1" applyFill="1"/>
    <xf numFmtId="2" fontId="0" fillId="5" borderId="0" xfId="0" applyNumberFormat="1" applyFill="1"/>
    <xf numFmtId="2" fontId="16" fillId="21" borderId="21" xfId="0" applyNumberFormat="1" applyFont="1" applyFill="1" applyBorder="1"/>
    <xf numFmtId="2" fontId="16" fillId="9" borderId="22" xfId="0" applyNumberFormat="1" applyFont="1" applyFill="1" applyBorder="1"/>
    <xf numFmtId="2" fontId="16" fillId="7" borderId="22" xfId="0" applyNumberFormat="1" applyFont="1" applyFill="1" applyBorder="1"/>
    <xf numFmtId="2" fontId="16" fillId="7" borderId="23" xfId="0" applyNumberFormat="1" applyFont="1" applyFill="1" applyBorder="1"/>
    <xf numFmtId="164" fontId="16" fillId="18" borderId="22" xfId="0" applyNumberFormat="1" applyFont="1" applyFill="1" applyBorder="1"/>
    <xf numFmtId="164" fontId="16" fillId="15" borderId="22" xfId="0" applyNumberFormat="1" applyFont="1" applyFill="1" applyBorder="1"/>
    <xf numFmtId="164" fontId="16" fillId="22" borderId="22" xfId="0" applyNumberFormat="1" applyFont="1" applyFill="1" applyBorder="1"/>
    <xf numFmtId="0" fontId="16" fillId="0" borderId="21" xfId="0" applyFont="1" applyBorder="1"/>
    <xf numFmtId="0" fontId="16" fillId="0" borderId="1" xfId="0" applyFont="1" applyBorder="1"/>
    <xf numFmtId="0" fontId="16" fillId="0" borderId="27" xfId="0" applyFont="1" applyBorder="1"/>
    <xf numFmtId="2" fontId="16" fillId="0" borderId="19" xfId="0" applyNumberFormat="1" applyFont="1" applyBorder="1"/>
    <xf numFmtId="2" fontId="16" fillId="5" borderId="22" xfId="0" applyNumberFormat="1" applyFont="1" applyFill="1" applyBorder="1"/>
    <xf numFmtId="2" fontId="16" fillId="5" borderId="23" xfId="0" applyNumberFormat="1" applyFont="1" applyFill="1" applyBorder="1"/>
    <xf numFmtId="1" fontId="16" fillId="0" borderId="19" xfId="0" applyNumberFormat="1" applyFont="1" applyBorder="1"/>
    <xf numFmtId="164" fontId="16" fillId="7" borderId="22" xfId="0" applyNumberFormat="1" applyFont="1" applyFill="1" applyBorder="1"/>
    <xf numFmtId="164" fontId="16" fillId="7" borderId="0" xfId="0" applyNumberFormat="1" applyFont="1" applyFill="1"/>
    <xf numFmtId="164" fontId="16" fillId="21" borderId="22" xfId="0" applyNumberFormat="1" applyFont="1" applyFill="1" applyBorder="1"/>
    <xf numFmtId="0" fontId="16" fillId="21" borderId="0" xfId="0" applyFont="1" applyFill="1"/>
    <xf numFmtId="0" fontId="16" fillId="21" borderId="11" xfId="0" applyFont="1" applyFill="1" applyBorder="1"/>
    <xf numFmtId="1" fontId="16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7" borderId="0" xfId="0" applyFont="1" applyFill="1" applyAlignment="1">
      <alignment horizontal="left"/>
    </xf>
    <xf numFmtId="2" fontId="27" fillId="0" borderId="1" xfId="0" applyNumberFormat="1" applyFont="1" applyBorder="1"/>
    <xf numFmtId="0" fontId="27" fillId="0" borderId="2" xfId="0" applyFont="1" applyBorder="1"/>
    <xf numFmtId="0" fontId="27" fillId="2" borderId="7" xfId="0" applyFont="1" applyFill="1" applyBorder="1"/>
    <xf numFmtId="0" fontId="27" fillId="10" borderId="1" xfId="0" applyFont="1" applyFill="1" applyBorder="1"/>
    <xf numFmtId="0" fontId="27" fillId="10" borderId="1" xfId="0" applyFont="1" applyFill="1" applyBorder="1" applyAlignment="1">
      <alignment horizontal="center"/>
    </xf>
    <xf numFmtId="0" fontId="27" fillId="0" borderId="7" xfId="0" applyFont="1" applyBorder="1"/>
    <xf numFmtId="0" fontId="27" fillId="0" borderId="3" xfId="0" applyFont="1" applyBorder="1"/>
    <xf numFmtId="0" fontId="27" fillId="2" borderId="1" xfId="0" applyFont="1" applyFill="1" applyBorder="1"/>
    <xf numFmtId="0" fontId="27" fillId="5" borderId="1" xfId="0" applyFont="1" applyFill="1" applyBorder="1"/>
    <xf numFmtId="0" fontId="27" fillId="5" borderId="1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2" fontId="27" fillId="2" borderId="3" xfId="0" applyNumberFormat="1" applyFont="1" applyFill="1" applyBorder="1"/>
    <xf numFmtId="0" fontId="8" fillId="0" borderId="0" xfId="0" applyFont="1" applyAlignment="1">
      <alignment horizontal="left"/>
    </xf>
    <xf numFmtId="0" fontId="8" fillId="2" borderId="3" xfId="0" applyFont="1" applyFill="1" applyBorder="1" applyAlignment="1">
      <alignment horizontal="left"/>
    </xf>
    <xf numFmtId="2" fontId="25" fillId="30" borderId="1" xfId="0" applyNumberFormat="1" applyFont="1" applyFill="1" applyBorder="1" applyAlignment="1">
      <alignment horizontal="center"/>
    </xf>
    <xf numFmtId="2" fontId="25" fillId="2" borderId="1" xfId="0" applyNumberFormat="1" applyFont="1" applyFill="1" applyBorder="1" applyAlignment="1">
      <alignment horizontal="center"/>
    </xf>
    <xf numFmtId="2" fontId="25" fillId="17" borderId="1" xfId="0" applyNumberFormat="1" applyFont="1" applyFill="1" applyBorder="1" applyAlignment="1">
      <alignment horizontal="center"/>
    </xf>
    <xf numFmtId="0" fontId="11" fillId="30" borderId="7" xfId="0" applyFont="1" applyFill="1" applyBorder="1" applyAlignment="1">
      <alignment horizontal="center"/>
    </xf>
    <xf numFmtId="0" fontId="11" fillId="30" borderId="2" xfId="0" applyFont="1" applyFill="1" applyBorder="1" applyAlignment="1">
      <alignment horizontal="center"/>
    </xf>
    <xf numFmtId="0" fontId="11" fillId="30" borderId="2" xfId="0" applyFont="1" applyFill="1" applyBorder="1"/>
    <xf numFmtId="0" fontId="11" fillId="29" borderId="1" xfId="0" applyFont="1" applyFill="1" applyBorder="1"/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2" fontId="25" fillId="7" borderId="1" xfId="0" applyNumberFormat="1" applyFont="1" applyFill="1" applyBorder="1" applyAlignment="1">
      <alignment horizontal="center"/>
    </xf>
    <xf numFmtId="0" fontId="25" fillId="20" borderId="1" xfId="0" applyFont="1" applyFill="1" applyBorder="1" applyAlignment="1">
      <alignment horizontal="center"/>
    </xf>
    <xf numFmtId="2" fontId="25" fillId="20" borderId="1" xfId="0" applyNumberFormat="1" applyFont="1" applyFill="1" applyBorder="1" applyAlignment="1">
      <alignment horizontal="center"/>
    </xf>
    <xf numFmtId="0" fontId="24" fillId="20" borderId="1" xfId="0" applyFont="1" applyFill="1" applyBorder="1" applyAlignment="1">
      <alignment horizontal="center" vertical="center"/>
    </xf>
    <xf numFmtId="0" fontId="25" fillId="20" borderId="4" xfId="0" applyFont="1" applyFill="1" applyBorder="1" applyAlignment="1">
      <alignment horizontal="center"/>
    </xf>
    <xf numFmtId="0" fontId="25" fillId="20" borderId="5" xfId="0" applyFont="1" applyFill="1" applyBorder="1" applyAlignment="1">
      <alignment horizontal="center"/>
    </xf>
    <xf numFmtId="0" fontId="25" fillId="20" borderId="6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2" fontId="27" fillId="26" borderId="3" xfId="0" applyNumberFormat="1" applyFont="1" applyFill="1" applyBorder="1"/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2" fontId="27" fillId="34" borderId="7" xfId="0" applyNumberFormat="1" applyFont="1" applyFill="1" applyBorder="1"/>
    <xf numFmtId="2" fontId="27" fillId="2" borderId="7" xfId="0" applyNumberFormat="1" applyFont="1" applyFill="1" applyBorder="1"/>
    <xf numFmtId="2" fontId="27" fillId="2" borderId="1" xfId="0" applyNumberFormat="1" applyFont="1" applyFill="1" applyBorder="1"/>
    <xf numFmtId="2" fontId="27" fillId="2" borderId="2" xfId="0" applyNumberFormat="1" applyFont="1" applyFill="1" applyBorder="1"/>
    <xf numFmtId="0" fontId="10" fillId="0" borderId="0" xfId="0" applyFont="1" applyAlignment="1">
      <alignment wrapText="1"/>
    </xf>
    <xf numFmtId="0" fontId="10" fillId="16" borderId="1" xfId="0" applyFont="1" applyFill="1" applyBorder="1" applyAlignment="1">
      <alignment wrapText="1"/>
    </xf>
    <xf numFmtId="0" fontId="10" fillId="16" borderId="3" xfId="0" applyFont="1" applyFill="1" applyBorder="1" applyAlignment="1">
      <alignment wrapText="1"/>
    </xf>
    <xf numFmtId="0" fontId="10" fillId="16" borderId="3" xfId="0" applyFont="1" applyFill="1" applyBorder="1"/>
    <xf numFmtId="0" fontId="10" fillId="16" borderId="3" xfId="0" applyFont="1" applyFill="1" applyBorder="1" applyAlignment="1">
      <alignment vertical="center" wrapText="1"/>
    </xf>
    <xf numFmtId="0" fontId="10" fillId="13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vertical="center"/>
    </xf>
    <xf numFmtId="0" fontId="10" fillId="28" borderId="1" xfId="0" applyFont="1" applyFill="1" applyBorder="1" applyAlignment="1">
      <alignment wrapText="1"/>
    </xf>
    <xf numFmtId="0" fontId="10" fillId="9" borderId="1" xfId="0" applyFont="1" applyFill="1" applyBorder="1" applyAlignment="1">
      <alignment wrapText="1"/>
    </xf>
    <xf numFmtId="0" fontId="10" fillId="11" borderId="1" xfId="0" applyFont="1" applyFill="1" applyBorder="1" applyAlignment="1">
      <alignment wrapText="1"/>
    </xf>
    <xf numFmtId="0" fontId="10" fillId="10" borderId="1" xfId="0" applyFont="1" applyFill="1" applyBorder="1" applyAlignment="1">
      <alignment wrapText="1"/>
    </xf>
    <xf numFmtId="0" fontId="10" fillId="10" borderId="1" xfId="0" applyFont="1" applyFill="1" applyBorder="1" applyAlignment="1">
      <alignment horizontal="left" vertical="top" wrapText="1"/>
    </xf>
    <xf numFmtId="2" fontId="10" fillId="16" borderId="34" xfId="0" applyNumberFormat="1" applyFont="1" applyFill="1" applyBorder="1" applyAlignment="1">
      <alignment horizontal="center"/>
    </xf>
    <xf numFmtId="0" fontId="10" fillId="0" borderId="0" xfId="0" applyFont="1" applyAlignment="1">
      <alignment vertical="center"/>
    </xf>
    <xf numFmtId="0" fontId="10" fillId="7" borderId="0" xfId="0" applyFont="1" applyFill="1" applyAlignment="1">
      <alignment horizontal="center" wrapText="1"/>
    </xf>
    <xf numFmtId="2" fontId="10" fillId="7" borderId="0" xfId="0" applyNumberFormat="1" applyFont="1" applyFill="1" applyAlignment="1">
      <alignment horizontal="center"/>
    </xf>
    <xf numFmtId="0" fontId="10" fillId="7" borderId="0" xfId="0" applyFont="1" applyFill="1" applyAlignment="1">
      <alignment vertical="center"/>
    </xf>
    <xf numFmtId="0" fontId="10" fillId="13" borderId="2" xfId="0" applyFont="1" applyFill="1" applyBorder="1" applyAlignment="1">
      <alignment vertical="top" wrapText="1"/>
    </xf>
    <xf numFmtId="0" fontId="10" fillId="13" borderId="10" xfId="0" applyFont="1" applyFill="1" applyBorder="1" applyAlignment="1">
      <alignment vertical="top" wrapText="1"/>
    </xf>
    <xf numFmtId="0" fontId="10" fillId="28" borderId="2" xfId="0" applyFont="1" applyFill="1" applyBorder="1" applyAlignment="1">
      <alignment vertical="top" wrapText="1"/>
    </xf>
    <xf numFmtId="0" fontId="10" fillId="28" borderId="10" xfId="0" applyFont="1" applyFill="1" applyBorder="1" applyAlignment="1">
      <alignment vertical="top" wrapText="1"/>
    </xf>
    <xf numFmtId="0" fontId="10" fillId="9" borderId="2" xfId="0" applyFont="1" applyFill="1" applyBorder="1" applyAlignment="1">
      <alignment vertical="top" wrapText="1"/>
    </xf>
    <xf numFmtId="0" fontId="10" fillId="9" borderId="10" xfId="0" applyFont="1" applyFill="1" applyBorder="1" applyAlignment="1">
      <alignment vertical="top" wrapText="1"/>
    </xf>
    <xf numFmtId="2" fontId="10" fillId="16" borderId="35" xfId="0" applyNumberFormat="1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 vertical="center" wrapText="1"/>
    </xf>
    <xf numFmtId="0" fontId="10" fillId="8" borderId="36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10" fillId="8" borderId="38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 wrapText="1"/>
    </xf>
    <xf numFmtId="0" fontId="1" fillId="7" borderId="37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0" fillId="7" borderId="0" xfId="0" applyFont="1" applyFill="1" applyAlignment="1">
      <alignment horizontal="center"/>
    </xf>
    <xf numFmtId="0" fontId="10" fillId="7" borderId="0" xfId="0" applyFont="1" applyFill="1"/>
    <xf numFmtId="0" fontId="1" fillId="7" borderId="0" xfId="0" applyFont="1" applyFill="1" applyAlignment="1">
      <alignment horizontal="center"/>
    </xf>
    <xf numFmtId="0" fontId="13" fillId="7" borderId="0" xfId="0" applyFont="1" applyFill="1" applyAlignment="1">
      <alignment horizontal="center"/>
    </xf>
    <xf numFmtId="2" fontId="1" fillId="7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0" fontId="4" fillId="3" borderId="1" xfId="0" applyFont="1" applyFill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27" fillId="6" borderId="5" xfId="0" applyFont="1" applyFill="1" applyBorder="1" applyAlignment="1">
      <alignment horizontal="center"/>
    </xf>
    <xf numFmtId="0" fontId="27" fillId="6" borderId="6" xfId="0" applyFont="1" applyFill="1" applyBorder="1" applyAlignment="1">
      <alignment horizontal="center"/>
    </xf>
    <xf numFmtId="0" fontId="7" fillId="14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8" borderId="6" xfId="0" applyFont="1" applyFill="1" applyBorder="1" applyAlignment="1">
      <alignment horizontal="center"/>
    </xf>
    <xf numFmtId="0" fontId="4" fillId="9" borderId="4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/>
    </xf>
    <xf numFmtId="0" fontId="27" fillId="11" borderId="5" xfId="0" applyFont="1" applyFill="1" applyBorder="1" applyAlignment="1">
      <alignment horizontal="center"/>
    </xf>
    <xf numFmtId="0" fontId="27" fillId="11" borderId="6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4" fillId="13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left"/>
    </xf>
    <xf numFmtId="0" fontId="4" fillId="16" borderId="4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6" xfId="0" applyFont="1" applyFill="1" applyBorder="1" applyAlignment="1">
      <alignment horizontal="center"/>
    </xf>
    <xf numFmtId="0" fontId="4" fillId="17" borderId="4" xfId="0" applyFont="1" applyFill="1" applyBorder="1" applyAlignment="1">
      <alignment horizontal="center"/>
    </xf>
    <xf numFmtId="0" fontId="4" fillId="17" borderId="5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2" fontId="27" fillId="18" borderId="5" xfId="0" applyNumberFormat="1" applyFont="1" applyFill="1" applyBorder="1" applyAlignment="1">
      <alignment horizontal="center"/>
    </xf>
    <xf numFmtId="2" fontId="27" fillId="18" borderId="6" xfId="0" applyNumberFormat="1" applyFont="1" applyFill="1" applyBorder="1" applyAlignment="1">
      <alignment horizontal="center"/>
    </xf>
    <xf numFmtId="0" fontId="4" fillId="19" borderId="1" xfId="0" applyFont="1" applyFill="1" applyBorder="1" applyAlignment="1">
      <alignment horizontal="left"/>
    </xf>
    <xf numFmtId="0" fontId="5" fillId="0" borderId="0" xfId="0" applyFont="1" applyAlignment="1">
      <alignment horizontal="center" wrapText="1"/>
    </xf>
    <xf numFmtId="0" fontId="10" fillId="25" borderId="1" xfId="0" applyFont="1" applyFill="1" applyBorder="1" applyAlignment="1">
      <alignment horizontal="center" vertical="center" wrapText="1"/>
    </xf>
    <xf numFmtId="0" fontId="10" fillId="13" borderId="2" xfId="0" applyFont="1" applyFill="1" applyBorder="1" applyAlignment="1">
      <alignment horizontal="left" vertical="top" wrapText="1"/>
    </xf>
    <xf numFmtId="0" fontId="10" fillId="13" borderId="10" xfId="0" applyFont="1" applyFill="1" applyBorder="1" applyAlignment="1">
      <alignment horizontal="left" vertical="top" wrapText="1"/>
    </xf>
    <xf numFmtId="0" fontId="10" fillId="13" borderId="3" xfId="0" applyFont="1" applyFill="1" applyBorder="1" applyAlignment="1">
      <alignment horizontal="left" vertical="top" wrapText="1"/>
    </xf>
    <xf numFmtId="2" fontId="10" fillId="13" borderId="2" xfId="0" applyNumberFormat="1" applyFont="1" applyFill="1" applyBorder="1" applyAlignment="1">
      <alignment horizontal="center" vertical="center"/>
    </xf>
    <xf numFmtId="2" fontId="10" fillId="13" borderId="10" xfId="0" applyNumberFormat="1" applyFont="1" applyFill="1" applyBorder="1" applyAlignment="1">
      <alignment horizontal="center" vertical="center"/>
    </xf>
    <xf numFmtId="2" fontId="10" fillId="13" borderId="3" xfId="0" applyNumberFormat="1" applyFont="1" applyFill="1" applyBorder="1" applyAlignment="1">
      <alignment horizontal="center" vertical="center"/>
    </xf>
    <xf numFmtId="0" fontId="10" fillId="28" borderId="2" xfId="0" applyFont="1" applyFill="1" applyBorder="1" applyAlignment="1">
      <alignment horizontal="left" vertical="top" wrapText="1"/>
    </xf>
    <xf numFmtId="0" fontId="10" fillId="28" borderId="10" xfId="0" applyFont="1" applyFill="1" applyBorder="1" applyAlignment="1">
      <alignment horizontal="left" vertical="top" wrapText="1"/>
    </xf>
    <xf numFmtId="0" fontId="10" fillId="28" borderId="3" xfId="0" applyFont="1" applyFill="1" applyBorder="1" applyAlignment="1">
      <alignment horizontal="left" vertical="top" wrapText="1"/>
    </xf>
    <xf numFmtId="2" fontId="10" fillId="8" borderId="2" xfId="0" applyNumberFormat="1" applyFont="1" applyFill="1" applyBorder="1" applyAlignment="1">
      <alignment horizontal="center" vertical="center"/>
    </xf>
    <xf numFmtId="2" fontId="10" fillId="8" borderId="10" xfId="0" applyNumberFormat="1" applyFont="1" applyFill="1" applyBorder="1" applyAlignment="1">
      <alignment horizontal="center" vertical="center"/>
    </xf>
    <xf numFmtId="2" fontId="10" fillId="8" borderId="3" xfId="0" applyNumberFormat="1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wrapText="1"/>
    </xf>
    <xf numFmtId="0" fontId="10" fillId="16" borderId="12" xfId="0" applyFont="1" applyFill="1" applyBorder="1" applyAlignment="1">
      <alignment horizontal="center" wrapText="1"/>
    </xf>
    <xf numFmtId="0" fontId="10" fillId="9" borderId="2" xfId="0" applyFont="1" applyFill="1" applyBorder="1" applyAlignment="1">
      <alignment horizontal="left" vertical="top" wrapText="1"/>
    </xf>
    <xf numFmtId="0" fontId="10" fillId="9" borderId="10" xfId="0" applyFont="1" applyFill="1" applyBorder="1" applyAlignment="1">
      <alignment horizontal="left" vertical="top" wrapText="1"/>
    </xf>
    <xf numFmtId="0" fontId="10" fillId="9" borderId="3" xfId="0" applyFont="1" applyFill="1" applyBorder="1" applyAlignment="1">
      <alignment horizontal="left" vertical="top" wrapText="1"/>
    </xf>
    <xf numFmtId="2" fontId="10" fillId="9" borderId="2" xfId="0" applyNumberFormat="1" applyFont="1" applyFill="1" applyBorder="1" applyAlignment="1">
      <alignment horizontal="center" vertical="center"/>
    </xf>
    <xf numFmtId="2" fontId="10" fillId="9" borderId="10" xfId="0" applyNumberFormat="1" applyFont="1" applyFill="1" applyBorder="1" applyAlignment="1">
      <alignment horizontal="center" vertical="center"/>
    </xf>
    <xf numFmtId="2" fontId="10" fillId="9" borderId="3" xfId="0" applyNumberFormat="1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left" vertical="top" wrapText="1"/>
    </xf>
    <xf numFmtId="0" fontId="10" fillId="11" borderId="10" xfId="0" applyFont="1" applyFill="1" applyBorder="1" applyAlignment="1">
      <alignment horizontal="left" vertical="top" wrapText="1"/>
    </xf>
    <xf numFmtId="0" fontId="10" fillId="11" borderId="3" xfId="0" applyFont="1" applyFill="1" applyBorder="1" applyAlignment="1">
      <alignment horizontal="left" vertical="top" wrapText="1"/>
    </xf>
    <xf numFmtId="2" fontId="10" fillId="11" borderId="2" xfId="0" applyNumberFormat="1" applyFont="1" applyFill="1" applyBorder="1" applyAlignment="1">
      <alignment horizontal="center" vertical="center"/>
    </xf>
    <xf numFmtId="2" fontId="10" fillId="11" borderId="10" xfId="0" applyNumberFormat="1" applyFont="1" applyFill="1" applyBorder="1" applyAlignment="1">
      <alignment horizontal="center" vertical="center"/>
    </xf>
    <xf numFmtId="2" fontId="10" fillId="11" borderId="3" xfId="0" applyNumberFormat="1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left" vertical="top" wrapText="1"/>
    </xf>
    <xf numFmtId="0" fontId="10" fillId="10" borderId="10" xfId="0" applyFont="1" applyFill="1" applyBorder="1" applyAlignment="1">
      <alignment horizontal="left" vertical="top" wrapText="1"/>
    </xf>
    <xf numFmtId="0" fontId="10" fillId="10" borderId="3" xfId="0" applyFont="1" applyFill="1" applyBorder="1" applyAlignment="1">
      <alignment horizontal="left" vertical="top" wrapText="1"/>
    </xf>
    <xf numFmtId="2" fontId="10" fillId="13" borderId="1" xfId="0" applyNumberFormat="1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wrapText="1"/>
    </xf>
    <xf numFmtId="0" fontId="10" fillId="16" borderId="13" xfId="0" applyFont="1" applyFill="1" applyBorder="1" applyAlignment="1">
      <alignment horizontal="center" wrapText="1"/>
    </xf>
    <xf numFmtId="0" fontId="10" fillId="25" borderId="3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14" fillId="0" borderId="28" xfId="0" applyFont="1" applyBorder="1" applyAlignment="1">
      <alignment horizontal="center"/>
    </xf>
    <xf numFmtId="0" fontId="0" fillId="0" borderId="0" xfId="0" applyAlignment="1">
      <alignment horizontal="center"/>
    </xf>
    <xf numFmtId="0" fontId="18" fillId="8" borderId="27" xfId="0" applyFont="1" applyFill="1" applyBorder="1" applyAlignment="1">
      <alignment horizontal="center" vertical="top" wrapText="1"/>
    </xf>
    <xf numFmtId="0" fontId="18" fillId="8" borderId="0" xfId="0" applyFont="1" applyFill="1" applyAlignment="1">
      <alignment horizontal="center" vertical="top" wrapText="1"/>
    </xf>
    <xf numFmtId="0" fontId="17" fillId="23" borderId="30" xfId="0" applyFont="1" applyFill="1" applyBorder="1" applyAlignment="1">
      <alignment horizontal="center" vertical="center" wrapText="1"/>
    </xf>
    <xf numFmtId="0" fontId="17" fillId="23" borderId="34" xfId="0" applyFont="1" applyFill="1" applyBorder="1" applyAlignment="1">
      <alignment horizontal="center" vertical="center" wrapText="1"/>
    </xf>
    <xf numFmtId="0" fontId="17" fillId="23" borderId="35" xfId="0" applyFont="1" applyFill="1" applyBorder="1" applyAlignment="1">
      <alignment horizontal="center" vertical="center" wrapText="1"/>
    </xf>
    <xf numFmtId="0" fontId="10" fillId="23" borderId="30" xfId="0" applyFont="1" applyFill="1" applyBorder="1" applyAlignment="1">
      <alignment horizontal="center" vertical="center" wrapText="1"/>
    </xf>
    <xf numFmtId="0" fontId="10" fillId="23" borderId="34" xfId="0" applyFont="1" applyFill="1" applyBorder="1" applyAlignment="1">
      <alignment horizontal="center" vertical="center" wrapText="1"/>
    </xf>
    <xf numFmtId="0" fontId="10" fillId="23" borderId="35" xfId="0" applyFont="1" applyFill="1" applyBorder="1" applyAlignment="1">
      <alignment horizontal="center" vertical="center" wrapText="1"/>
    </xf>
    <xf numFmtId="0" fontId="10" fillId="23" borderId="31" xfId="0" applyFont="1" applyFill="1" applyBorder="1" applyAlignment="1">
      <alignment horizontal="center" vertical="center" wrapText="1"/>
    </xf>
    <xf numFmtId="0" fontId="10" fillId="23" borderId="32" xfId="0" applyFont="1" applyFill="1" applyBorder="1" applyAlignment="1">
      <alignment horizontal="center" vertical="center" wrapText="1"/>
    </xf>
    <xf numFmtId="0" fontId="10" fillId="23" borderId="33" xfId="0" applyFont="1" applyFill="1" applyBorder="1" applyAlignment="1">
      <alignment horizontal="center" vertical="center" wrapText="1"/>
    </xf>
    <xf numFmtId="0" fontId="1" fillId="23" borderId="30" xfId="0" applyFont="1" applyFill="1" applyBorder="1" applyAlignment="1">
      <alignment horizontal="center" vertical="center" wrapText="1"/>
    </xf>
    <xf numFmtId="0" fontId="1" fillId="23" borderId="35" xfId="0" applyFont="1" applyFill="1" applyBorder="1" applyAlignment="1">
      <alignment horizontal="center" vertical="center" wrapText="1"/>
    </xf>
    <xf numFmtId="0" fontId="18" fillId="20" borderId="27" xfId="0" applyFont="1" applyFill="1" applyBorder="1" applyAlignment="1">
      <alignment horizontal="center" vertical="top" wrapText="1"/>
    </xf>
    <xf numFmtId="0" fontId="18" fillId="20" borderId="0" xfId="0" applyFont="1" applyFill="1" applyAlignment="1">
      <alignment horizontal="center" vertical="top" wrapText="1"/>
    </xf>
    <xf numFmtId="0" fontId="12" fillId="23" borderId="30" xfId="0" applyFont="1" applyFill="1" applyBorder="1" applyAlignment="1">
      <alignment horizontal="center" vertical="center" wrapText="1"/>
    </xf>
    <xf numFmtId="0" fontId="12" fillId="23" borderId="34" xfId="0" applyFont="1" applyFill="1" applyBorder="1" applyAlignment="1">
      <alignment horizontal="center" vertical="center" wrapText="1"/>
    </xf>
    <xf numFmtId="0" fontId="12" fillId="23" borderId="35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7" borderId="0" xfId="0" applyFont="1" applyFill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20" borderId="14" xfId="0" applyFont="1" applyFill="1" applyBorder="1" applyAlignment="1">
      <alignment horizontal="center" vertical="center"/>
    </xf>
    <xf numFmtId="0" fontId="11" fillId="20" borderId="12" xfId="0" applyFont="1" applyFill="1" applyBorder="1" applyAlignment="1">
      <alignment horizontal="center" vertical="center"/>
    </xf>
    <xf numFmtId="0" fontId="11" fillId="20" borderId="2" xfId="0" applyFont="1" applyFill="1" applyBorder="1" applyAlignment="1">
      <alignment horizontal="center" vertical="center"/>
    </xf>
    <xf numFmtId="0" fontId="11" fillId="20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left"/>
    </xf>
    <xf numFmtId="2" fontId="12" fillId="0" borderId="0" xfId="0" applyNumberFormat="1" applyFont="1"/>
    <xf numFmtId="0" fontId="24" fillId="0" borderId="0" xfId="0" applyFont="1"/>
    <xf numFmtId="1" fontId="11" fillId="20" borderId="1" xfId="0" applyNumberFormat="1" applyFont="1" applyFill="1" applyBorder="1" applyAlignment="1">
      <alignment horizontal="center"/>
    </xf>
    <xf numFmtId="1" fontId="11" fillId="20" borderId="6" xfId="0" applyNumberFormat="1" applyFont="1" applyFill="1" applyBorder="1" applyAlignment="1">
      <alignment horizontal="center"/>
    </xf>
    <xf numFmtId="0" fontId="29" fillId="16" borderId="0" xfId="0" applyFont="1" applyFill="1" applyAlignment="1">
      <alignment horizontal="center"/>
    </xf>
    <xf numFmtId="2" fontId="12" fillId="0" borderId="0" xfId="0" applyNumberFormat="1" applyFont="1" applyAlignment="1">
      <alignment horizontal="center"/>
    </xf>
    <xf numFmtId="0" fontId="24" fillId="7" borderId="0" xfId="0" applyFont="1" applyFill="1" applyAlignment="1">
      <alignment horizontal="left" vertical="center"/>
    </xf>
    <xf numFmtId="0" fontId="27" fillId="0" borderId="0" xfId="0" applyFont="1" applyAlignment="1">
      <alignment horizontal="center"/>
    </xf>
    <xf numFmtId="0" fontId="27" fillId="4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0" fontId="8" fillId="7" borderId="0" xfId="0" applyFont="1" applyFill="1" applyAlignment="1">
      <alignment horizontal="left"/>
    </xf>
    <xf numFmtId="0" fontId="30" fillId="7" borderId="0" xfId="0" applyFont="1" applyFill="1" applyAlignment="1">
      <alignment horizontal="left"/>
    </xf>
    <xf numFmtId="0" fontId="2" fillId="0" borderId="9" xfId="0" applyFont="1" applyBorder="1" applyAlignment="1">
      <alignment horizontal="left" wrapText="1"/>
    </xf>
  </cellXfs>
  <cellStyles count="2">
    <cellStyle name="Normal" xfId="0" builtinId="0"/>
    <cellStyle name="Style 1" xfId="1"/>
  </cellStyles>
  <dxfs count="0"/>
  <tableStyles count="0" defaultTableStyle="TableStyleMedium2" defaultPivotStyle="PivotStyleLight16"/>
  <colors>
    <mruColors>
      <color rgb="FF0000FF"/>
      <color rgb="FFFFD1D1"/>
      <color rgb="FF00FF00"/>
      <color rgb="FFE9EF9B"/>
      <color rgb="FF9BCDFF"/>
      <color rgb="FFFF9999"/>
      <color rgb="FFD5EAFF"/>
      <color rgb="FFE6CDFF"/>
      <color rgb="FFE5F2FF"/>
      <color rgb="FFBDD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</xdr:colOff>
      <xdr:row>71</xdr:row>
      <xdr:rowOff>50800</xdr:rowOff>
    </xdr:from>
    <xdr:to>
      <xdr:col>9</xdr:col>
      <xdr:colOff>177800</xdr:colOff>
      <xdr:row>73</xdr:row>
      <xdr:rowOff>33866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2543FCE3-D5C1-DEAF-9EA5-D73AA4CB86E0}"/>
            </a:ext>
          </a:extLst>
        </xdr:cNvPr>
        <xdr:cNvCxnSpPr/>
      </xdr:nvCxnSpPr>
      <xdr:spPr>
        <a:xfrm flipV="1">
          <a:off x="7484533" y="20362333"/>
          <a:ext cx="948267" cy="52493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8467</xdr:colOff>
      <xdr:row>79</xdr:row>
      <xdr:rowOff>42333</xdr:rowOff>
    </xdr:from>
    <xdr:to>
      <xdr:col>4</xdr:col>
      <xdr:colOff>355600</xdr:colOff>
      <xdr:row>82</xdr:row>
      <xdr:rowOff>135467</xdr:rowOff>
    </xdr:to>
    <xdr:cxnSp macro="">
      <xdr:nvCxnSpPr>
        <xdr:cNvPr id="2" name="Straight Arrow Connector 1">
          <a:extLst>
            <a:ext uri="{FF2B5EF4-FFF2-40B4-BE49-F238E27FC236}">
              <a16:creationId xmlns:a16="http://schemas.microsoft.com/office/drawing/2014/main" id="{1463E57A-31AA-4096-A13B-0C50ED93A6EC}"/>
            </a:ext>
          </a:extLst>
        </xdr:cNvPr>
        <xdr:cNvCxnSpPr/>
      </xdr:nvCxnSpPr>
      <xdr:spPr>
        <a:xfrm flipV="1">
          <a:off x="5884334" y="22521333"/>
          <a:ext cx="753533" cy="905934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42756</xdr:colOff>
      <xdr:row>89</xdr:row>
      <xdr:rowOff>177800</xdr:rowOff>
    </xdr:from>
    <xdr:to>
      <xdr:col>4</xdr:col>
      <xdr:colOff>355600</xdr:colOff>
      <xdr:row>92</xdr:row>
      <xdr:rowOff>158751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3E92A851-7415-40B4-9B80-989B622A33ED}"/>
            </a:ext>
          </a:extLst>
        </xdr:cNvPr>
        <xdr:cNvCxnSpPr/>
      </xdr:nvCxnSpPr>
      <xdr:spPr>
        <a:xfrm flipV="1">
          <a:off x="5918623" y="25366133"/>
          <a:ext cx="719244" cy="793751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1032934</xdr:colOff>
      <xdr:row>16</xdr:row>
      <xdr:rowOff>118535</xdr:rowOff>
    </xdr:from>
    <xdr:to>
      <xdr:col>3</xdr:col>
      <xdr:colOff>347133</xdr:colOff>
      <xdr:row>24</xdr:row>
      <xdr:rowOff>76200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A6E2C2D9-2D12-48AB-9AC1-340994F0B464}"/>
            </a:ext>
          </a:extLst>
        </xdr:cNvPr>
        <xdr:cNvCxnSpPr/>
      </xdr:nvCxnSpPr>
      <xdr:spPr>
        <a:xfrm flipH="1" flipV="1">
          <a:off x="5486401" y="4741335"/>
          <a:ext cx="736599" cy="2387598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33</xdr:row>
      <xdr:rowOff>296333</xdr:rowOff>
    </xdr:from>
    <xdr:to>
      <xdr:col>11</xdr:col>
      <xdr:colOff>441420</xdr:colOff>
      <xdr:row>37</xdr:row>
      <xdr:rowOff>155142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A6E2C2D9-2D12-48AB-9AC1-340994F0B464}"/>
            </a:ext>
          </a:extLst>
        </xdr:cNvPr>
        <xdr:cNvCxnSpPr/>
      </xdr:nvCxnSpPr>
      <xdr:spPr>
        <a:xfrm flipH="1" flipV="1">
          <a:off x="5875867" y="10075333"/>
          <a:ext cx="3684153" cy="1205009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3</xdr:col>
      <xdr:colOff>8466</xdr:colOff>
      <xdr:row>45</xdr:row>
      <xdr:rowOff>296333</xdr:rowOff>
    </xdr:from>
    <xdr:to>
      <xdr:col>12</xdr:col>
      <xdr:colOff>35022</xdr:colOff>
      <xdr:row>49</xdr:row>
      <xdr:rowOff>146676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A6E2C2D9-2D12-48AB-9AC1-340994F0B464}"/>
            </a:ext>
          </a:extLst>
        </xdr:cNvPr>
        <xdr:cNvCxnSpPr/>
      </xdr:nvCxnSpPr>
      <xdr:spPr>
        <a:xfrm flipH="1" flipV="1">
          <a:off x="5884333" y="13512800"/>
          <a:ext cx="3718022" cy="1196543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84667</xdr:colOff>
      <xdr:row>58</xdr:row>
      <xdr:rowOff>25400</xdr:rowOff>
    </xdr:from>
    <xdr:to>
      <xdr:col>9</xdr:col>
      <xdr:colOff>93133</xdr:colOff>
      <xdr:row>59</xdr:row>
      <xdr:rowOff>50800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id="{2543FCE3-D5C1-DEAF-9EA5-D73AA4CB86E0}"/>
            </a:ext>
          </a:extLst>
        </xdr:cNvPr>
        <xdr:cNvCxnSpPr/>
      </xdr:nvCxnSpPr>
      <xdr:spPr>
        <a:xfrm flipV="1">
          <a:off x="7560734" y="16933333"/>
          <a:ext cx="787399" cy="296334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1405467</xdr:colOff>
      <xdr:row>79</xdr:row>
      <xdr:rowOff>186267</xdr:rowOff>
    </xdr:from>
    <xdr:to>
      <xdr:col>11</xdr:col>
      <xdr:colOff>355600</xdr:colOff>
      <xdr:row>84</xdr:row>
      <xdr:rowOff>186266</xdr:rowOff>
    </xdr:to>
    <xdr:cxnSp macro="">
      <xdr:nvCxnSpPr>
        <xdr:cNvPr id="20" name="Straight Arrow Connector 19">
          <a:extLst>
            <a:ext uri="{FF2B5EF4-FFF2-40B4-BE49-F238E27FC236}">
              <a16:creationId xmlns:a16="http://schemas.microsoft.com/office/drawing/2014/main" id="{2543FCE3-D5C1-DEAF-9EA5-D73AA4CB86E0}"/>
            </a:ext>
          </a:extLst>
        </xdr:cNvPr>
        <xdr:cNvCxnSpPr/>
      </xdr:nvCxnSpPr>
      <xdr:spPr>
        <a:xfrm flipH="1" flipV="1">
          <a:off x="5858934" y="22665267"/>
          <a:ext cx="3615266" cy="1354666"/>
        </a:xfrm>
        <a:prstGeom prst="straightConnector1">
          <a:avLst/>
        </a:prstGeom>
        <a:ln w="19050"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FCF172C9-A27D-495C-B87A-C1106B129B4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4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xmlns:a14="http://schemas.microsoft.com/office/drawing/2010/main" xmlns="" id="{B6D81DC8-C29C-494E-8780-B422630C9C65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1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E3039D54-3D41-459E-9327-8545537BBF0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5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DB87723F-D144-489E-9AC0-3DC263A69388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6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009B914-CED5-467D-8A98-37C5FE136152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6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7D490C99-B6FF-4EB9-9B91-24DB1179CEC9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00000000-0008-0000-0600-000006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6" name="Text Box 8">
              <a:extLst>
                <a:ext uri="{FF2B5EF4-FFF2-40B4-BE49-F238E27FC236}">
                  <a16:creationId xmlns:a16="http://schemas.microsoft.com/office/drawing/2014/main" id="{CA4367C7-AFFE-45FF-B73A-F5674D176226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00000000-0008-0000-0600-000007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7" name="Text Box 8">
              <a:extLst>
                <a:ext uri="{FF2B5EF4-FFF2-40B4-BE49-F238E27FC236}">
                  <a16:creationId xmlns:a16="http://schemas.microsoft.com/office/drawing/2014/main" id="{9EDEFCB1-6995-4C35-BED1-78A3B8911F5B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7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82650"/>
              <a:ext cx="838200" cy="3143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7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639050" y="673100"/>
              <a:ext cx="1111250" cy="4381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</xdr:row>
      <xdr:rowOff>254000</xdr:rowOff>
    </xdr:from>
    <xdr:to>
      <xdr:col>5</xdr:col>
      <xdr:colOff>1000125</xdr:colOff>
      <xdr:row>2</xdr:row>
      <xdr:rowOff>257175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00000000-0008-0000-0800-000003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(2)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3" name="Text Box 8">
              <a:extLst>
                <a:ext uri="{FF2B5EF4-FFF2-40B4-BE49-F238E27FC236}">
                  <a16:creationId xmlns:a16="http://schemas.microsoft.com/office/drawing/2014/main" id="{910748EB-14B1-498F-912B-D56783A12D71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09925" y="873125"/>
              <a:ext cx="838200" cy="479425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(2)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  <xdr:twoCellAnchor>
    <xdr:from>
      <xdr:col>8</xdr:col>
      <xdr:colOff>247650</xdr:colOff>
      <xdr:row>1</xdr:row>
      <xdr:rowOff>44450</xdr:rowOff>
    </xdr:from>
    <xdr:to>
      <xdr:col>8</xdr:col>
      <xdr:colOff>1358900</xdr:colOff>
      <xdr:row>2</xdr:row>
      <xdr:rowOff>171450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0000000-0008-0000-0800-000004000000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f>
                      <m:fPr>
                        <m:ctrlPr>
                          <a:rPr lang="th-TH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</m:ctrlPr>
                      </m:fPr>
                      <m:num>
                        <m:d>
                          <m:dPr>
                            <m:ctrlP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</m:ctrlPr>
                          </m:dPr>
                          <m:e>
                            <m:r>
                              <a:rPr lang="en-US" sz="800" b="0" i="1" u="none" strike="noStrike" baseline="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  <a:cs typeface="Cordia New"/>
                              </a:rPr>
                              <m:t>1</m:t>
                            </m:r>
                          </m:e>
                        </m:d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−(4)</m:t>
                        </m:r>
                      </m:num>
                      <m:den>
                        <m:r>
                          <a:rPr lang="en-US" sz="800" b="0" i="1" u="none" strike="noStrike" baseline="0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  <a:cs typeface="Cordia New"/>
                          </a:rPr>
                          <m:t>(1)</m:t>
                        </m:r>
                      </m:den>
                    </m:f>
                    <m:r>
                      <a:rPr lang="th-TH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×</m:t>
                    </m:r>
                    <m:r>
                      <a:rPr lang="en-US" sz="800" b="0" i="1" u="none" strike="noStrike" baseline="0">
                        <a:solidFill>
                          <a:srgbClr val="000000"/>
                        </a:solidFill>
                        <a:latin typeface="Cambria Math" panose="02040503050406030204" pitchFamily="18" charset="0"/>
                        <a:ea typeface="Cambria Math" panose="02040503050406030204" pitchFamily="18" charset="0"/>
                        <a:cs typeface="Cordia New"/>
                      </a:rPr>
                      <m:t>100</m:t>
                    </m:r>
                  </m:oMath>
                </m:oMathPara>
              </a14:m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Choice>
      <mc:Fallback xmlns="">
        <xdr:sp macro="" textlink="">
          <xdr:nvSpPr>
            <xdr:cNvPr id="4" name="Text Box 8">
              <a:extLst>
                <a:ext uri="{FF2B5EF4-FFF2-40B4-BE49-F238E27FC236}">
                  <a16:creationId xmlns:a16="http://schemas.microsoft.com/office/drawing/2014/main" id="{0A49A81D-A565-4BC7-A366-A865EE0DBC13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7439025" y="663575"/>
              <a:ext cx="1111250" cy="603250"/>
            </a:xfrm>
            <a:prstGeom prst="rect">
              <a:avLst/>
            </a:prstGeom>
            <a:solidFill>
              <a:srgbClr val="F2F2F2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(1)−(4)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)/(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(1)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cs typeface="Cordia New"/>
                </a:rPr>
                <a:t>)</a:t>
              </a:r>
              <a:r>
                <a:rPr lang="th-TH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×</a:t>
              </a:r>
              <a:r>
                <a:rPr lang="en-US" sz="800" b="0" i="0" u="none" strike="noStrike" baseline="0">
                  <a:solidFill>
                    <a:srgbClr val="000000"/>
                  </a:solidFill>
                  <a:latin typeface="Cambria Math" panose="02040503050406030204" pitchFamily="18" charset="0"/>
                  <a:ea typeface="Cambria Math" panose="02040503050406030204" pitchFamily="18" charset="0"/>
                  <a:cs typeface="Cordia New"/>
                </a:rPr>
                <a:t>100</a:t>
              </a:r>
              <a:endParaRPr lang="en-US" sz="800" b="0" i="0" u="none" strike="noStrike" baseline="0">
                <a:solidFill>
                  <a:srgbClr val="000000"/>
                </a:solidFill>
                <a:latin typeface="Cordia New"/>
                <a:cs typeface="Cordia New"/>
              </a:endParaRPr>
            </a:p>
          </xdr:txBody>
        </xdr:sp>
      </mc:Fallback>
    </mc:AlternateContent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20321</xdr:colOff>
      <xdr:row>3</xdr:row>
      <xdr:rowOff>156210</xdr:rowOff>
    </xdr:from>
    <xdr:to>
      <xdr:col>15</xdr:col>
      <xdr:colOff>123826</xdr:colOff>
      <xdr:row>14</xdr:row>
      <xdr:rowOff>117928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90001" y="1184910"/>
          <a:ext cx="3898265" cy="351263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495300</xdr:colOff>
      <xdr:row>3</xdr:row>
      <xdr:rowOff>388620</xdr:rowOff>
    </xdr:from>
    <xdr:to>
      <xdr:col>22</xdr:col>
      <xdr:colOff>598805</xdr:colOff>
      <xdr:row>15</xdr:row>
      <xdr:rowOff>37918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2520" y="1417320"/>
          <a:ext cx="3898265" cy="35126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R106"/>
  <sheetViews>
    <sheetView zoomScale="90" zoomScaleNormal="90" zoomScaleSheetLayoutView="110" workbookViewId="0">
      <selection activeCell="G13" sqref="G13"/>
    </sheetView>
  </sheetViews>
  <sheetFormatPr defaultColWidth="9.21875" defaultRowHeight="21" x14ac:dyDescent="0.6"/>
  <cols>
    <col min="1" max="1" width="4.21875" style="4" customWidth="1"/>
    <col min="2" max="2" width="60.77734375" style="4" customWidth="1"/>
    <col min="3" max="3" width="20.77734375" style="4" customWidth="1"/>
    <col min="4" max="4" width="5.88671875" style="210" customWidth="1"/>
    <col min="5" max="7" width="5.77734375" style="4" customWidth="1"/>
    <col min="8" max="8" width="5.5546875" style="4" customWidth="1"/>
    <col min="9" max="10" width="5.77734375" style="4" customWidth="1"/>
    <col min="11" max="11" width="6.77734375" style="54" customWidth="1"/>
    <col min="12" max="12" width="6.5546875" style="4" customWidth="1"/>
    <col min="13" max="13" width="6.77734375" style="4" customWidth="1"/>
    <col min="14" max="15" width="5.77734375" style="4" customWidth="1"/>
    <col min="16" max="16384" width="9.21875" style="4"/>
  </cols>
  <sheetData>
    <row r="2" spans="2:13" s="2" customFormat="1" ht="50.1" customHeight="1" x14ac:dyDescent="0.6">
      <c r="B2" s="292" t="s">
        <v>136</v>
      </c>
      <c r="C2" s="293"/>
      <c r="D2" s="293"/>
      <c r="E2" s="1"/>
      <c r="F2" s="1"/>
      <c r="G2" s="1"/>
      <c r="H2" s="1"/>
      <c r="I2" s="1"/>
      <c r="J2" s="1"/>
      <c r="K2" s="53"/>
    </row>
    <row r="3" spans="2:13" x14ac:dyDescent="0.6">
      <c r="B3" s="290" t="s">
        <v>0</v>
      </c>
      <c r="C3" s="290"/>
      <c r="D3" s="290"/>
      <c r="E3" s="3"/>
      <c r="F3" s="3"/>
      <c r="G3" s="3"/>
      <c r="H3" s="3"/>
    </row>
    <row r="4" spans="2:13" ht="12" customHeight="1" x14ac:dyDescent="0.6"/>
    <row r="5" spans="2:13" x14ac:dyDescent="0.6">
      <c r="B5" s="5" t="s">
        <v>1</v>
      </c>
      <c r="C5" s="5" t="s">
        <v>2</v>
      </c>
    </row>
    <row r="6" spans="2:13" x14ac:dyDescent="0.6">
      <c r="B6" s="6" t="s">
        <v>3</v>
      </c>
      <c r="C6" s="6">
        <v>71</v>
      </c>
      <c r="D6" s="146" t="s">
        <v>218</v>
      </c>
    </row>
    <row r="7" spans="2:13" x14ac:dyDescent="0.6">
      <c r="B7" s="7" t="s">
        <v>4</v>
      </c>
      <c r="C7" s="7">
        <v>15</v>
      </c>
    </row>
    <row r="8" spans="2:13" x14ac:dyDescent="0.6">
      <c r="B8" s="8" t="s">
        <v>213</v>
      </c>
      <c r="C8" s="245">
        <f>(C7*100)/C6</f>
        <v>21.12676056338028</v>
      </c>
      <c r="D8" s="104" t="s">
        <v>216</v>
      </c>
      <c r="E8"/>
      <c r="F8"/>
      <c r="G8"/>
      <c r="H8"/>
      <c r="I8" s="208"/>
      <c r="J8" s="208"/>
      <c r="K8" s="209"/>
      <c r="L8" s="209" t="s">
        <v>73</v>
      </c>
      <c r="M8" s="208" t="s">
        <v>74</v>
      </c>
    </row>
    <row r="9" spans="2:13" x14ac:dyDescent="0.6">
      <c r="B9" s="6" t="s">
        <v>5</v>
      </c>
      <c r="C9" s="213">
        <v>4.68</v>
      </c>
      <c r="D9"/>
      <c r="E9"/>
      <c r="F9"/>
      <c r="G9"/>
      <c r="H9"/>
      <c r="I9" s="208"/>
      <c r="J9" s="208"/>
      <c r="K9" s="209">
        <f>SUM(L9)*M9</f>
        <v>139.5</v>
      </c>
      <c r="L9" s="208">
        <v>4.5</v>
      </c>
      <c r="M9" s="208">
        <v>31</v>
      </c>
    </row>
    <row r="10" spans="2:13" x14ac:dyDescent="0.6">
      <c r="B10" s="9" t="s">
        <v>6</v>
      </c>
      <c r="C10" s="224">
        <f>C9</f>
        <v>4.68</v>
      </c>
    </row>
    <row r="11" spans="2:13" ht="32.25" customHeight="1" x14ac:dyDescent="0.6">
      <c r="B11" s="3" t="s">
        <v>79</v>
      </c>
    </row>
    <row r="12" spans="2:13" ht="23.4" x14ac:dyDescent="0.6">
      <c r="B12" s="294" t="s">
        <v>7</v>
      </c>
      <c r="C12" s="294"/>
      <c r="D12" s="294"/>
      <c r="E12" s="294"/>
    </row>
    <row r="13" spans="2:13" x14ac:dyDescent="0.6">
      <c r="B13" s="290" t="s">
        <v>8</v>
      </c>
      <c r="C13" s="290"/>
      <c r="D13" s="290"/>
    </row>
    <row r="14" spans="2:13" ht="12" customHeight="1" x14ac:dyDescent="0.6"/>
    <row r="15" spans="2:13" x14ac:dyDescent="0.6">
      <c r="B15" s="124" t="s">
        <v>1</v>
      </c>
      <c r="C15" s="124" t="s">
        <v>2</v>
      </c>
    </row>
    <row r="16" spans="2:13" x14ac:dyDescent="0.6">
      <c r="B16" s="122" t="s">
        <v>157</v>
      </c>
      <c r="C16" s="130">
        <v>71</v>
      </c>
      <c r="D16" s="146" t="s">
        <v>218</v>
      </c>
    </row>
    <row r="17" spans="2:6" x14ac:dyDescent="0.6">
      <c r="B17" s="122" t="s">
        <v>214</v>
      </c>
      <c r="C17" s="174">
        <v>51</v>
      </c>
      <c r="D17" s="410">
        <f>(C17*100)/C16</f>
        <v>71.83098591549296</v>
      </c>
    </row>
    <row r="18" spans="2:6" x14ac:dyDescent="0.6">
      <c r="B18" s="125" t="s">
        <v>163</v>
      </c>
      <c r="C18" s="130">
        <v>20</v>
      </c>
    </row>
    <row r="19" spans="2:6" x14ac:dyDescent="0.6">
      <c r="B19" s="126" t="s">
        <v>159</v>
      </c>
      <c r="C19" s="131">
        <v>20</v>
      </c>
    </row>
    <row r="20" spans="2:6" ht="42" x14ac:dyDescent="0.6">
      <c r="B20" s="126" t="s">
        <v>160</v>
      </c>
      <c r="C20" s="131">
        <v>10</v>
      </c>
    </row>
    <row r="21" spans="2:6" x14ac:dyDescent="0.6">
      <c r="B21" s="126" t="s">
        <v>158</v>
      </c>
      <c r="C21" s="131">
        <v>1</v>
      </c>
    </row>
    <row r="22" spans="2:6" x14ac:dyDescent="0.6">
      <c r="B22" s="126" t="s">
        <v>153</v>
      </c>
      <c r="C22" s="131">
        <v>0</v>
      </c>
    </row>
    <row r="23" spans="2:6" x14ac:dyDescent="0.6">
      <c r="B23" s="126" t="s">
        <v>154</v>
      </c>
      <c r="C23" s="131">
        <v>0</v>
      </c>
    </row>
    <row r="24" spans="2:6" x14ac:dyDescent="0.6">
      <c r="B24" s="126" t="s">
        <v>155</v>
      </c>
      <c r="C24" s="131">
        <v>0</v>
      </c>
    </row>
    <row r="25" spans="2:6" x14ac:dyDescent="0.6">
      <c r="B25" s="126" t="s">
        <v>156</v>
      </c>
      <c r="C25" s="131">
        <v>0</v>
      </c>
      <c r="D25" s="411">
        <f>(C18+C19+C20+C21+C22+C23+C24+C25)</f>
        <v>51</v>
      </c>
      <c r="E25" s="3" t="s">
        <v>215</v>
      </c>
    </row>
    <row r="26" spans="2:6" x14ac:dyDescent="0.6">
      <c r="B26" s="123" t="s">
        <v>162</v>
      </c>
      <c r="C26" s="223">
        <f>((C18+C19+C20)*100)/(C17-(C22+C23+C24+C25))</f>
        <v>98.039215686274517</v>
      </c>
      <c r="D26" s="211"/>
    </row>
    <row r="27" spans="2:6" x14ac:dyDescent="0.6">
      <c r="B27" s="127" t="s">
        <v>161</v>
      </c>
      <c r="C27" s="223">
        <f>((C26*5)/100)</f>
        <v>4.9019607843137258</v>
      </c>
      <c r="D27" s="211"/>
    </row>
    <row r="28" spans="2:6" ht="39.75" customHeight="1" x14ac:dyDescent="0.6"/>
    <row r="29" spans="2:6" ht="23.4" x14ac:dyDescent="0.6">
      <c r="B29" s="295" t="s">
        <v>10</v>
      </c>
      <c r="C29" s="294"/>
      <c r="D29" s="294"/>
      <c r="E29" s="294"/>
      <c r="F29" s="4" t="s">
        <v>75</v>
      </c>
    </row>
    <row r="30" spans="2:6" ht="23.4" x14ac:dyDescent="0.6">
      <c r="B30" s="10" t="s">
        <v>11</v>
      </c>
      <c r="C30" s="11"/>
      <c r="D30" s="11"/>
      <c r="E30" s="11"/>
    </row>
    <row r="31" spans="2:6" x14ac:dyDescent="0.6">
      <c r="B31" s="290" t="s">
        <v>12</v>
      </c>
      <c r="C31" s="290"/>
      <c r="D31" s="290"/>
    </row>
    <row r="32" spans="2:6" ht="22.5" customHeight="1" x14ac:dyDescent="0.6"/>
    <row r="33" spans="2:15" x14ac:dyDescent="0.6">
      <c r="B33" s="12" t="s">
        <v>1</v>
      </c>
      <c r="C33" s="12" t="s">
        <v>2</v>
      </c>
    </row>
    <row r="34" spans="2:15" ht="42" x14ac:dyDescent="0.6">
      <c r="B34" s="246" t="s">
        <v>219</v>
      </c>
      <c r="C34" s="6">
        <f>K38</f>
        <v>8.3000000000000007</v>
      </c>
      <c r="E34" s="291" t="s">
        <v>13</v>
      </c>
      <c r="F34" s="291"/>
      <c r="G34" s="291"/>
      <c r="H34" s="291"/>
      <c r="I34" s="291"/>
      <c r="J34" s="291"/>
      <c r="K34" s="296" t="s">
        <v>14</v>
      </c>
      <c r="L34" s="297"/>
      <c r="M34" s="297"/>
      <c r="N34" s="297"/>
      <c r="O34" s="298"/>
    </row>
    <row r="35" spans="2:15" x14ac:dyDescent="0.6">
      <c r="B35" s="6" t="s">
        <v>15</v>
      </c>
      <c r="C35" s="6">
        <v>20</v>
      </c>
      <c r="E35" s="13">
        <v>0.1</v>
      </c>
      <c r="F35" s="13">
        <v>0.2</v>
      </c>
      <c r="G35" s="13">
        <v>0.4</v>
      </c>
      <c r="H35" s="13">
        <v>0.6</v>
      </c>
      <c r="I35" s="13">
        <v>0.8</v>
      </c>
      <c r="J35" s="13">
        <v>1</v>
      </c>
      <c r="K35" s="14">
        <v>0.2</v>
      </c>
      <c r="L35" s="14">
        <v>0.4</v>
      </c>
      <c r="M35" s="14">
        <v>0.6</v>
      </c>
      <c r="N35" s="14">
        <v>0.8</v>
      </c>
      <c r="O35" s="14">
        <v>1</v>
      </c>
    </row>
    <row r="36" spans="2:15" x14ac:dyDescent="0.6">
      <c r="B36" s="8" t="s">
        <v>16</v>
      </c>
      <c r="C36" s="219">
        <f>SUM(C34)*100/C35</f>
        <v>41.500000000000007</v>
      </c>
      <c r="E36" s="15">
        <v>5</v>
      </c>
      <c r="F36" s="15">
        <v>5</v>
      </c>
      <c r="G36" s="15">
        <v>5</v>
      </c>
      <c r="H36" s="15">
        <v>5</v>
      </c>
      <c r="I36" s="15">
        <v>1</v>
      </c>
      <c r="J36" s="15">
        <v>1</v>
      </c>
      <c r="K36" s="55">
        <v>0</v>
      </c>
      <c r="L36" s="16">
        <v>0</v>
      </c>
      <c r="M36" s="16">
        <v>0</v>
      </c>
      <c r="N36" s="16">
        <v>0</v>
      </c>
      <c r="O36" s="16">
        <v>0</v>
      </c>
    </row>
    <row r="37" spans="2:15" x14ac:dyDescent="0.6">
      <c r="B37" s="5" t="s">
        <v>9</v>
      </c>
      <c r="C37" s="250">
        <f>SUM(C36)*5/40</f>
        <v>5.1875000000000009</v>
      </c>
      <c r="E37" s="221">
        <f>SUM(E36)*E35</f>
        <v>0.5</v>
      </c>
      <c r="F37" s="221">
        <f>SUM(F36)*F35</f>
        <v>1</v>
      </c>
      <c r="G37" s="221">
        <f>SUM(G36)*G35</f>
        <v>2</v>
      </c>
      <c r="H37" s="221">
        <f t="shared" ref="H37:O37" si="0">SUM(H36)*H35</f>
        <v>3</v>
      </c>
      <c r="I37" s="221">
        <f t="shared" si="0"/>
        <v>0.8</v>
      </c>
      <c r="J37" s="221">
        <f t="shared" si="0"/>
        <v>1</v>
      </c>
      <c r="K37" s="222">
        <f t="shared" si="0"/>
        <v>0</v>
      </c>
      <c r="L37" s="221">
        <f>SUM(L36)*L35</f>
        <v>0</v>
      </c>
      <c r="M37" s="221">
        <f>SUM(M36)*M35</f>
        <v>0</v>
      </c>
      <c r="N37" s="221">
        <f t="shared" si="0"/>
        <v>0</v>
      </c>
      <c r="O37" s="221">
        <f t="shared" si="0"/>
        <v>0</v>
      </c>
    </row>
    <row r="38" spans="2:15" x14ac:dyDescent="0.6">
      <c r="E38" s="299" t="s">
        <v>17</v>
      </c>
      <c r="F38" s="300"/>
      <c r="G38" s="300"/>
      <c r="H38" s="300"/>
      <c r="I38" s="300"/>
      <c r="J38" s="301"/>
      <c r="K38" s="302">
        <f>SUM(E37:O37)</f>
        <v>8.3000000000000007</v>
      </c>
      <c r="L38" s="302"/>
      <c r="M38" s="302"/>
      <c r="N38" s="302"/>
      <c r="O38" s="303"/>
    </row>
    <row r="41" spans="2:15" ht="23.4" x14ac:dyDescent="0.6">
      <c r="B41" s="295" t="s">
        <v>18</v>
      </c>
      <c r="C41" s="294"/>
      <c r="D41" s="294"/>
      <c r="E41" s="294"/>
    </row>
    <row r="42" spans="2:15" ht="23.25" customHeight="1" x14ac:dyDescent="0.6">
      <c r="B42" s="10" t="s">
        <v>19</v>
      </c>
      <c r="C42" s="11"/>
      <c r="D42" s="11"/>
      <c r="E42" s="11"/>
    </row>
    <row r="43" spans="2:15" x14ac:dyDescent="0.6">
      <c r="B43" s="290" t="s">
        <v>20</v>
      </c>
      <c r="C43" s="290"/>
      <c r="D43" s="290"/>
    </row>
    <row r="44" spans="2:15" ht="12" customHeight="1" x14ac:dyDescent="0.6"/>
    <row r="45" spans="2:15" x14ac:dyDescent="0.6">
      <c r="B45" s="12" t="s">
        <v>1</v>
      </c>
      <c r="C45" s="12" t="s">
        <v>2</v>
      </c>
      <c r="E45"/>
    </row>
    <row r="46" spans="2:15" ht="42" x14ac:dyDescent="0.6">
      <c r="B46" s="247" t="s">
        <v>220</v>
      </c>
      <c r="C46" s="6">
        <f>K50</f>
        <v>7.8</v>
      </c>
      <c r="E46"/>
      <c r="F46" s="306" t="s">
        <v>13</v>
      </c>
      <c r="G46" s="307"/>
      <c r="H46" s="307"/>
      <c r="I46" s="307"/>
      <c r="J46" s="308"/>
      <c r="K46" s="309" t="s">
        <v>14</v>
      </c>
      <c r="L46" s="310"/>
      <c r="M46" s="310"/>
      <c r="N46" s="310"/>
      <c r="O46" s="311"/>
    </row>
    <row r="47" spans="2:15" x14ac:dyDescent="0.6">
      <c r="B47" s="6" t="s">
        <v>21</v>
      </c>
      <c r="C47" s="6">
        <v>15</v>
      </c>
      <c r="E47"/>
      <c r="F47" s="19">
        <v>0.2</v>
      </c>
      <c r="G47" s="19">
        <v>0.4</v>
      </c>
      <c r="H47" s="19">
        <v>0.6</v>
      </c>
      <c r="I47" s="19">
        <v>0.8</v>
      </c>
      <c r="J47" s="19">
        <v>1</v>
      </c>
      <c r="K47" s="20">
        <v>0.2</v>
      </c>
      <c r="L47" s="20">
        <v>0.4</v>
      </c>
      <c r="M47" s="20">
        <v>0.6</v>
      </c>
      <c r="N47" s="20">
        <v>0.8</v>
      </c>
      <c r="O47" s="20">
        <v>1</v>
      </c>
    </row>
    <row r="48" spans="2:15" x14ac:dyDescent="0.6">
      <c r="B48" s="8" t="s">
        <v>16</v>
      </c>
      <c r="C48" s="219">
        <f>SUM(C46)*100/C47</f>
        <v>52</v>
      </c>
      <c r="E48"/>
      <c r="F48" s="21">
        <v>5</v>
      </c>
      <c r="G48" s="21">
        <v>5</v>
      </c>
      <c r="H48" s="21">
        <v>5</v>
      </c>
      <c r="I48" s="21">
        <v>1</v>
      </c>
      <c r="J48" s="21">
        <v>1</v>
      </c>
      <c r="K48" s="56"/>
      <c r="L48" s="22"/>
      <c r="M48" s="22"/>
      <c r="N48" s="22"/>
      <c r="O48" s="22"/>
    </row>
    <row r="49" spans="2:15" x14ac:dyDescent="0.6">
      <c r="B49" s="5" t="s">
        <v>9</v>
      </c>
      <c r="C49" s="220">
        <f>SUM(C48)*5/80</f>
        <v>3.25</v>
      </c>
      <c r="E49"/>
      <c r="F49" s="216">
        <f>SUM(F48)*F47</f>
        <v>1</v>
      </c>
      <c r="G49" s="216">
        <f t="shared" ref="G49:O49" si="1">SUM(G48)*G47</f>
        <v>2</v>
      </c>
      <c r="H49" s="216">
        <f t="shared" si="1"/>
        <v>3</v>
      </c>
      <c r="I49" s="216">
        <f t="shared" si="1"/>
        <v>0.8</v>
      </c>
      <c r="J49" s="216">
        <f t="shared" si="1"/>
        <v>1</v>
      </c>
      <c r="K49" s="217">
        <f t="shared" si="1"/>
        <v>0</v>
      </c>
      <c r="L49" s="216">
        <f t="shared" si="1"/>
        <v>0</v>
      </c>
      <c r="M49" s="216">
        <f t="shared" si="1"/>
        <v>0</v>
      </c>
      <c r="N49" s="216">
        <f t="shared" si="1"/>
        <v>0</v>
      </c>
      <c r="O49" s="216">
        <f t="shared" si="1"/>
        <v>0</v>
      </c>
    </row>
    <row r="50" spans="2:15" x14ac:dyDescent="0.6">
      <c r="E50"/>
      <c r="F50" s="23" t="s">
        <v>17</v>
      </c>
      <c r="G50" s="24"/>
      <c r="H50" s="24"/>
      <c r="I50" s="24"/>
      <c r="J50" s="25"/>
      <c r="K50" s="312">
        <f>SUM(F49:O49)</f>
        <v>7.8</v>
      </c>
      <c r="L50" s="312"/>
      <c r="M50" s="312"/>
      <c r="N50" s="312"/>
      <c r="O50" s="313"/>
    </row>
    <row r="51" spans="2:15" x14ac:dyDescent="0.6">
      <c r="E51"/>
    </row>
    <row r="53" spans="2:15" s="2" customFormat="1" ht="23.4" x14ac:dyDescent="0.6">
      <c r="B53" s="294" t="s">
        <v>22</v>
      </c>
      <c r="C53" s="294"/>
      <c r="D53" s="294"/>
      <c r="E53" s="1"/>
      <c r="F53" s="1"/>
      <c r="G53" s="1"/>
      <c r="H53" s="1"/>
      <c r="I53" s="1"/>
      <c r="J53" s="1"/>
      <c r="K53" s="53"/>
    </row>
    <row r="54" spans="2:15" x14ac:dyDescent="0.6">
      <c r="B54" s="413" t="s">
        <v>202</v>
      </c>
      <c r="C54" s="414"/>
      <c r="D54" s="414"/>
      <c r="E54" s="3"/>
      <c r="F54" s="3"/>
      <c r="G54" s="3"/>
      <c r="H54" s="3"/>
    </row>
    <row r="55" spans="2:15" ht="12" customHeight="1" x14ac:dyDescent="0.6"/>
    <row r="56" spans="2:15" x14ac:dyDescent="0.6">
      <c r="B56" s="5" t="s">
        <v>1</v>
      </c>
      <c r="C56" s="5" t="s">
        <v>2</v>
      </c>
      <c r="F56" s="314" t="s">
        <v>23</v>
      </c>
      <c r="G56" s="314"/>
      <c r="H56" s="314"/>
      <c r="I56" s="314"/>
      <c r="J56" s="315" t="s">
        <v>24</v>
      </c>
      <c r="K56" s="315"/>
      <c r="L56" s="315"/>
    </row>
    <row r="57" spans="2:15" x14ac:dyDescent="0.6">
      <c r="B57" s="6" t="s">
        <v>137</v>
      </c>
      <c r="C57" s="6">
        <v>5</v>
      </c>
      <c r="F57" s="314" t="s">
        <v>25</v>
      </c>
      <c r="G57" s="314"/>
      <c r="H57" s="314"/>
      <c r="I57" s="314"/>
      <c r="J57" s="315" t="s">
        <v>26</v>
      </c>
      <c r="K57" s="315"/>
      <c r="L57" s="315"/>
    </row>
    <row r="58" spans="2:15" x14ac:dyDescent="0.6">
      <c r="B58" s="6" t="s">
        <v>138</v>
      </c>
      <c r="C58" s="6">
        <v>1</v>
      </c>
      <c r="F58" s="314" t="s">
        <v>27</v>
      </c>
      <c r="G58" s="314"/>
      <c r="H58" s="314"/>
      <c r="I58" s="314"/>
      <c r="J58" s="315" t="s">
        <v>28</v>
      </c>
      <c r="K58" s="315"/>
      <c r="L58" s="315"/>
    </row>
    <row r="59" spans="2:15" x14ac:dyDescent="0.6">
      <c r="B59" s="7" t="s">
        <v>139</v>
      </c>
      <c r="C59" s="214">
        <f>(C58*100)/C57</f>
        <v>20</v>
      </c>
      <c r="D59" s="210" t="s">
        <v>231</v>
      </c>
    </row>
    <row r="60" spans="2:15" x14ac:dyDescent="0.6">
      <c r="B60" s="26" t="s">
        <v>29</v>
      </c>
      <c r="C60" s="249">
        <f>SUM(C59)*5/20</f>
        <v>5</v>
      </c>
      <c r="D60" s="210" t="s">
        <v>201</v>
      </c>
    </row>
    <row r="61" spans="2:15" x14ac:dyDescent="0.6">
      <c r="B61" s="9" t="s">
        <v>30</v>
      </c>
      <c r="C61" s="27"/>
    </row>
    <row r="64" spans="2:15" x14ac:dyDescent="0.6">
      <c r="B64" s="412" t="s">
        <v>203</v>
      </c>
      <c r="C64" s="412"/>
      <c r="D64" s="412"/>
      <c r="E64" s="3"/>
      <c r="F64" s="3"/>
      <c r="G64" s="3"/>
      <c r="H64" s="3"/>
    </row>
    <row r="65" spans="2:12" ht="12" customHeight="1" x14ac:dyDescent="0.6"/>
    <row r="66" spans="2:12" x14ac:dyDescent="0.6">
      <c r="B66" s="5" t="s">
        <v>1</v>
      </c>
      <c r="C66" s="5" t="s">
        <v>2</v>
      </c>
    </row>
    <row r="67" spans="2:12" x14ac:dyDescent="0.6">
      <c r="B67" s="6" t="s">
        <v>137</v>
      </c>
      <c r="C67" s="6">
        <v>5</v>
      </c>
    </row>
    <row r="68" spans="2:12" x14ac:dyDescent="0.6">
      <c r="B68" s="6" t="s">
        <v>140</v>
      </c>
      <c r="C68" s="6">
        <v>3</v>
      </c>
    </row>
    <row r="69" spans="2:12" x14ac:dyDescent="0.6">
      <c r="B69" s="7" t="s">
        <v>141</v>
      </c>
      <c r="C69" s="7">
        <v>1</v>
      </c>
      <c r="F69" s="304" t="s">
        <v>23</v>
      </c>
      <c r="G69" s="304"/>
      <c r="H69" s="304"/>
      <c r="I69" s="304"/>
      <c r="J69" s="305" t="s">
        <v>26</v>
      </c>
      <c r="K69" s="305"/>
      <c r="L69" s="305"/>
    </row>
    <row r="70" spans="2:12" x14ac:dyDescent="0.6">
      <c r="B70" s="7" t="s">
        <v>142</v>
      </c>
      <c r="C70" s="28">
        <v>1</v>
      </c>
      <c r="F70" s="304" t="s">
        <v>25</v>
      </c>
      <c r="G70" s="304"/>
      <c r="H70" s="304"/>
      <c r="I70" s="304"/>
      <c r="J70" s="305" t="s">
        <v>31</v>
      </c>
      <c r="K70" s="305"/>
      <c r="L70" s="305"/>
    </row>
    <row r="71" spans="2:12" s="17" customFormat="1" x14ac:dyDescent="0.6">
      <c r="B71" s="29" t="s">
        <v>143</v>
      </c>
      <c r="C71" s="30">
        <v>0</v>
      </c>
      <c r="D71" s="212"/>
      <c r="F71" s="304" t="s">
        <v>27</v>
      </c>
      <c r="G71" s="304"/>
      <c r="H71" s="304"/>
      <c r="I71" s="304"/>
      <c r="J71" s="305" t="s">
        <v>28</v>
      </c>
      <c r="K71" s="305"/>
      <c r="L71" s="305"/>
    </row>
    <row r="72" spans="2:12" x14ac:dyDescent="0.6">
      <c r="B72" s="31" t="s">
        <v>144</v>
      </c>
      <c r="C72" s="215">
        <f>SUM(C69:C71)</f>
        <v>2</v>
      </c>
    </row>
    <row r="73" spans="2:12" x14ac:dyDescent="0.6">
      <c r="B73" s="7" t="s">
        <v>145</v>
      </c>
      <c r="C73" s="218">
        <f>SUM(C72)*100/C67</f>
        <v>40</v>
      </c>
    </row>
    <row r="74" spans="2:12" x14ac:dyDescent="0.6">
      <c r="B74" s="26" t="s">
        <v>146</v>
      </c>
      <c r="C74" s="248">
        <f>SUM(C73)*5/60</f>
        <v>3.3333333333333335</v>
      </c>
      <c r="D74" s="210" t="s">
        <v>230</v>
      </c>
    </row>
    <row r="75" spans="2:12" x14ac:dyDescent="0.6">
      <c r="B75" s="9" t="s">
        <v>32</v>
      </c>
      <c r="C75" s="27"/>
    </row>
    <row r="77" spans="2:12" s="32" customFormat="1" x14ac:dyDescent="0.6">
      <c r="B77" s="412" t="s">
        <v>204</v>
      </c>
      <c r="C77" s="412"/>
      <c r="D77" s="412"/>
      <c r="K77" s="57"/>
    </row>
    <row r="78" spans="2:12" ht="21.6" customHeight="1" x14ac:dyDescent="0.6">
      <c r="F78" s="318" t="s">
        <v>23</v>
      </c>
      <c r="G78" s="318"/>
      <c r="H78" s="318"/>
      <c r="I78" s="318"/>
      <c r="J78" s="319" t="s">
        <v>24</v>
      </c>
      <c r="K78" s="319"/>
      <c r="L78" s="319"/>
    </row>
    <row r="79" spans="2:12" x14ac:dyDescent="0.6">
      <c r="B79" s="12" t="s">
        <v>1</v>
      </c>
      <c r="C79" s="12" t="s">
        <v>2</v>
      </c>
      <c r="F79" s="318" t="s">
        <v>25</v>
      </c>
      <c r="G79" s="318"/>
      <c r="H79" s="318"/>
      <c r="I79" s="318"/>
      <c r="J79" s="319" t="s">
        <v>33</v>
      </c>
      <c r="K79" s="319"/>
      <c r="L79" s="319"/>
    </row>
    <row r="80" spans="2:12" x14ac:dyDescent="0.6">
      <c r="B80" s="6" t="s">
        <v>147</v>
      </c>
      <c r="C80" s="213">
        <f>K85</f>
        <v>4.2</v>
      </c>
      <c r="F80" s="318" t="s">
        <v>27</v>
      </c>
      <c r="G80" s="318"/>
      <c r="H80" s="318"/>
      <c r="I80" s="318"/>
      <c r="J80" s="319" t="s">
        <v>26</v>
      </c>
      <c r="K80" s="319"/>
      <c r="L80" s="319"/>
    </row>
    <row r="81" spans="2:18" x14ac:dyDescent="0.6">
      <c r="B81" s="8" t="s">
        <v>137</v>
      </c>
      <c r="C81" s="8">
        <v>5</v>
      </c>
      <c r="E81" s="17"/>
      <c r="F81" s="320" t="s">
        <v>13</v>
      </c>
      <c r="G81" s="321"/>
      <c r="H81" s="321"/>
      <c r="I81" s="321"/>
      <c r="J81" s="322"/>
      <c r="K81" s="323" t="s">
        <v>14</v>
      </c>
      <c r="L81" s="324"/>
      <c r="M81" s="324"/>
      <c r="N81" s="324"/>
      <c r="O81" s="325"/>
      <c r="R81" s="17"/>
    </row>
    <row r="82" spans="2:18" x14ac:dyDescent="0.6">
      <c r="B82" s="7" t="s">
        <v>148</v>
      </c>
      <c r="C82" s="214">
        <f>SUM(C80)*100/C81</f>
        <v>84</v>
      </c>
      <c r="E82" s="18"/>
      <c r="F82" s="33">
        <v>0.2</v>
      </c>
      <c r="G82" s="33">
        <v>0.4</v>
      </c>
      <c r="H82" s="33">
        <v>0.6</v>
      </c>
      <c r="I82" s="33">
        <v>0.8</v>
      </c>
      <c r="J82" s="33">
        <v>1</v>
      </c>
      <c r="K82" s="34">
        <v>0.2</v>
      </c>
      <c r="L82" s="34">
        <v>0.4</v>
      </c>
      <c r="M82" s="34">
        <v>0.6</v>
      </c>
      <c r="N82" s="34">
        <v>0.8</v>
      </c>
      <c r="O82" s="34">
        <v>1</v>
      </c>
    </row>
    <row r="83" spans="2:18" x14ac:dyDescent="0.6">
      <c r="B83" s="35" t="s">
        <v>34</v>
      </c>
      <c r="C83" s="251">
        <f>SUM(C82)*5/20</f>
        <v>21</v>
      </c>
      <c r="D83" s="225"/>
      <c r="E83" s="17"/>
      <c r="F83" s="36">
        <v>2</v>
      </c>
      <c r="G83" s="36">
        <v>2</v>
      </c>
      <c r="H83" s="36">
        <v>2</v>
      </c>
      <c r="I83" s="36">
        <v>1</v>
      </c>
      <c r="J83" s="36">
        <v>1</v>
      </c>
      <c r="K83" s="58">
        <v>0</v>
      </c>
      <c r="L83" s="37">
        <v>0</v>
      </c>
      <c r="M83" s="37">
        <v>0</v>
      </c>
      <c r="N83" s="37">
        <v>0</v>
      </c>
      <c r="O83" s="37">
        <v>0</v>
      </c>
    </row>
    <row r="84" spans="2:18" x14ac:dyDescent="0.6">
      <c r="B84" s="38" t="s">
        <v>149</v>
      </c>
      <c r="C84" s="226" t="s">
        <v>205</v>
      </c>
      <c r="E84" s="17"/>
      <c r="F84" s="216">
        <f>SUM(F83)*F82</f>
        <v>0.4</v>
      </c>
      <c r="G84" s="216">
        <f t="shared" ref="G84" si="2">SUM(G83)*G82</f>
        <v>0.8</v>
      </c>
      <c r="H84" s="216">
        <f t="shared" ref="H84" si="3">SUM(H83)*H82</f>
        <v>1.2</v>
      </c>
      <c r="I84" s="216">
        <f t="shared" ref="I84:O84" si="4">SUM(I83)*I82</f>
        <v>0.8</v>
      </c>
      <c r="J84" s="216">
        <f t="shared" si="4"/>
        <v>1</v>
      </c>
      <c r="K84" s="217">
        <f t="shared" si="4"/>
        <v>0</v>
      </c>
      <c r="L84" s="216">
        <f t="shared" si="4"/>
        <v>0</v>
      </c>
      <c r="M84" s="216">
        <f t="shared" si="4"/>
        <v>0</v>
      </c>
      <c r="N84" s="216">
        <f t="shared" si="4"/>
        <v>0</v>
      </c>
      <c r="O84" s="216">
        <f t="shared" si="4"/>
        <v>0</v>
      </c>
    </row>
    <row r="85" spans="2:18" x14ac:dyDescent="0.6">
      <c r="E85" s="17"/>
      <c r="F85" s="39" t="s">
        <v>17</v>
      </c>
      <c r="G85" s="40"/>
      <c r="H85" s="40"/>
      <c r="I85" s="40"/>
      <c r="J85" s="41"/>
      <c r="K85" s="326">
        <f>SUM(F84:O84)</f>
        <v>4.2</v>
      </c>
      <c r="L85" s="326"/>
      <c r="M85" s="326"/>
      <c r="N85" s="326"/>
      <c r="O85" s="327"/>
    </row>
    <row r="87" spans="2:18" x14ac:dyDescent="0.6">
      <c r="B87" s="412" t="s">
        <v>232</v>
      </c>
      <c r="C87" s="412"/>
      <c r="D87" s="412"/>
      <c r="E87" s="3"/>
      <c r="F87" s="3"/>
      <c r="G87" s="3"/>
      <c r="H87" s="3"/>
    </row>
    <row r="88" spans="2:18" ht="21.6" customHeight="1" x14ac:dyDescent="0.6">
      <c r="B88" s="415" t="s">
        <v>150</v>
      </c>
      <c r="C88" s="415"/>
      <c r="D88" s="211"/>
    </row>
    <row r="89" spans="2:18" x14ac:dyDescent="0.6">
      <c r="B89" s="5" t="s">
        <v>1</v>
      </c>
      <c r="C89" s="5" t="s">
        <v>2</v>
      </c>
      <c r="F89" s="316" t="s">
        <v>35</v>
      </c>
      <c r="G89" s="316"/>
      <c r="H89" s="316"/>
      <c r="I89" s="316"/>
      <c r="J89" s="316"/>
      <c r="K89" s="316"/>
      <c r="L89" s="316"/>
      <c r="M89" s="317" t="s">
        <v>36</v>
      </c>
      <c r="N89" s="317"/>
      <c r="O89" s="317"/>
    </row>
    <row r="90" spans="2:18" x14ac:dyDescent="0.6">
      <c r="B90" s="6" t="s">
        <v>137</v>
      </c>
      <c r="C90" s="6">
        <v>5</v>
      </c>
      <c r="F90" s="316" t="s">
        <v>37</v>
      </c>
      <c r="G90" s="316"/>
      <c r="H90" s="316"/>
      <c r="I90" s="316"/>
      <c r="J90" s="316"/>
      <c r="K90" s="316"/>
      <c r="L90" s="316"/>
      <c r="M90" s="317" t="s">
        <v>38</v>
      </c>
      <c r="N90" s="317"/>
      <c r="O90" s="317"/>
    </row>
    <row r="91" spans="2:18" x14ac:dyDescent="0.6">
      <c r="B91" s="6" t="s">
        <v>39</v>
      </c>
      <c r="C91" s="6">
        <v>10</v>
      </c>
      <c r="F91" s="316" t="s">
        <v>217</v>
      </c>
      <c r="G91" s="316"/>
      <c r="H91" s="316"/>
      <c r="I91" s="316"/>
      <c r="J91" s="316"/>
      <c r="K91" s="316"/>
      <c r="L91" s="316"/>
      <c r="M91" s="317" t="s">
        <v>40</v>
      </c>
      <c r="N91" s="317"/>
      <c r="O91" s="317"/>
    </row>
    <row r="92" spans="2:18" x14ac:dyDescent="0.6">
      <c r="B92" s="7" t="s">
        <v>151</v>
      </c>
      <c r="C92" s="214">
        <f>SUM(C91)/C90</f>
        <v>2</v>
      </c>
    </row>
    <row r="93" spans="2:18" x14ac:dyDescent="0.6">
      <c r="B93" s="26" t="s">
        <v>41</v>
      </c>
      <c r="C93" s="249">
        <f>SUM(C92)*5/2.5</f>
        <v>4</v>
      </c>
    </row>
    <row r="94" spans="2:18" x14ac:dyDescent="0.6">
      <c r="B94" s="42" t="s">
        <v>152</v>
      </c>
      <c r="C94" s="43"/>
    </row>
    <row r="95" spans="2:18" x14ac:dyDescent="0.6">
      <c r="B95" s="9" t="s">
        <v>42</v>
      </c>
      <c r="C95" s="27"/>
    </row>
    <row r="99" spans="2:11" s="2" customFormat="1" ht="23.4" x14ac:dyDescent="0.6">
      <c r="B99" s="294" t="s">
        <v>43</v>
      </c>
      <c r="C99" s="294"/>
      <c r="D99" s="294"/>
      <c r="E99" s="1"/>
      <c r="F99" s="1"/>
      <c r="G99" s="1"/>
      <c r="H99" s="1"/>
      <c r="I99" s="1"/>
      <c r="J99" s="1"/>
      <c r="K99" s="53"/>
    </row>
    <row r="100" spans="2:11" ht="12" customHeight="1" x14ac:dyDescent="0.6">
      <c r="B100" s="290"/>
      <c r="C100" s="290"/>
      <c r="D100" s="290"/>
      <c r="E100" s="3"/>
      <c r="F100" s="3"/>
      <c r="G100" s="3"/>
      <c r="H100" s="3"/>
    </row>
    <row r="101" spans="2:11" x14ac:dyDescent="0.6">
      <c r="B101" s="5" t="s">
        <v>1</v>
      </c>
      <c r="C101" s="5" t="s">
        <v>2</v>
      </c>
      <c r="E101" s="328" t="s">
        <v>44</v>
      </c>
      <c r="F101" s="328"/>
      <c r="G101" s="328"/>
      <c r="H101" s="305" t="s">
        <v>45</v>
      </c>
      <c r="I101" s="305"/>
      <c r="J101" s="305"/>
      <c r="K101" s="305"/>
    </row>
    <row r="102" spans="2:11" x14ac:dyDescent="0.6">
      <c r="B102" s="6" t="s">
        <v>46</v>
      </c>
      <c r="C102" s="6">
        <v>15</v>
      </c>
      <c r="E102" s="328" t="s">
        <v>47</v>
      </c>
      <c r="F102" s="328"/>
      <c r="G102" s="328"/>
      <c r="H102" s="305" t="s">
        <v>48</v>
      </c>
      <c r="I102" s="305"/>
      <c r="J102" s="305"/>
      <c r="K102" s="305"/>
    </row>
    <row r="103" spans="2:11" x14ac:dyDescent="0.6">
      <c r="B103" s="7" t="s">
        <v>49</v>
      </c>
      <c r="C103" s="7">
        <v>14</v>
      </c>
      <c r="E103" s="328" t="s">
        <v>50</v>
      </c>
      <c r="F103" s="328"/>
      <c r="G103" s="328"/>
      <c r="H103" s="305" t="s">
        <v>51</v>
      </c>
      <c r="I103" s="305"/>
      <c r="J103" s="305"/>
      <c r="K103" s="305"/>
    </row>
    <row r="104" spans="2:11" x14ac:dyDescent="0.6">
      <c r="B104" s="44" t="s">
        <v>52</v>
      </c>
      <c r="C104" s="213">
        <f>SUM(C103)*100/C102</f>
        <v>93.333333333333329</v>
      </c>
      <c r="E104" s="328" t="s">
        <v>53</v>
      </c>
      <c r="F104" s="328"/>
      <c r="G104" s="328"/>
      <c r="H104" s="305" t="s">
        <v>54</v>
      </c>
      <c r="I104" s="305"/>
      <c r="J104" s="305"/>
      <c r="K104" s="305"/>
    </row>
    <row r="105" spans="2:11" x14ac:dyDescent="0.6">
      <c r="B105" s="5" t="s">
        <v>55</v>
      </c>
      <c r="C105" s="244" t="str">
        <f>IF($C$104=100,"5.00",IF(AND($C$104&gt;=95,$C$104&lt;=99.99),"4.75",IF(AND($C$104&gt;=90,$C$104&lt;=94.99),"4.50",IF(AND($C$104&gt;=80.01,$C$104&lt;=89.99),"4.00",IF($C$104=80,"3.50","0.00")))))</f>
        <v>4.50</v>
      </c>
      <c r="E105" s="328" t="s">
        <v>56</v>
      </c>
      <c r="F105" s="328"/>
      <c r="G105" s="328"/>
      <c r="H105" s="305" t="s">
        <v>57</v>
      </c>
      <c r="I105" s="305"/>
      <c r="J105" s="305"/>
      <c r="K105" s="305"/>
    </row>
    <row r="106" spans="2:11" x14ac:dyDescent="0.6">
      <c r="E106" s="328" t="s">
        <v>58</v>
      </c>
      <c r="F106" s="328"/>
      <c r="G106" s="328"/>
      <c r="H106" s="305" t="s">
        <v>59</v>
      </c>
      <c r="I106" s="305"/>
      <c r="J106" s="305"/>
      <c r="K106" s="305"/>
    </row>
  </sheetData>
  <mergeCells count="62">
    <mergeCell ref="E105:G105"/>
    <mergeCell ref="H105:K105"/>
    <mergeCell ref="E106:G106"/>
    <mergeCell ref="H106:K106"/>
    <mergeCell ref="E102:G102"/>
    <mergeCell ref="H102:K102"/>
    <mergeCell ref="E103:G103"/>
    <mergeCell ref="H103:K103"/>
    <mergeCell ref="E104:G104"/>
    <mergeCell ref="H104:K104"/>
    <mergeCell ref="F91:L91"/>
    <mergeCell ref="M91:O91"/>
    <mergeCell ref="B99:D99"/>
    <mergeCell ref="B100:D100"/>
    <mergeCell ref="E101:G101"/>
    <mergeCell ref="H101:K101"/>
    <mergeCell ref="B77:D77"/>
    <mergeCell ref="F90:L90"/>
    <mergeCell ref="M90:O90"/>
    <mergeCell ref="F79:I79"/>
    <mergeCell ref="J79:L79"/>
    <mergeCell ref="F80:I80"/>
    <mergeCell ref="J80:L80"/>
    <mergeCell ref="F81:J81"/>
    <mergeCell ref="K81:O81"/>
    <mergeCell ref="K85:O85"/>
    <mergeCell ref="B87:D87"/>
    <mergeCell ref="B88:C88"/>
    <mergeCell ref="F89:L89"/>
    <mergeCell ref="M89:O89"/>
    <mergeCell ref="F78:I78"/>
    <mergeCell ref="J78:L78"/>
    <mergeCell ref="F71:I71"/>
    <mergeCell ref="J71:L71"/>
    <mergeCell ref="F69:I69"/>
    <mergeCell ref="J69:L69"/>
    <mergeCell ref="F46:J46"/>
    <mergeCell ref="K46:O46"/>
    <mergeCell ref="K50:O50"/>
    <mergeCell ref="F56:I56"/>
    <mergeCell ref="J56:L56"/>
    <mergeCell ref="F57:I57"/>
    <mergeCell ref="J57:L57"/>
    <mergeCell ref="F58:I58"/>
    <mergeCell ref="J58:L58"/>
    <mergeCell ref="F70:I70"/>
    <mergeCell ref="J70:L70"/>
    <mergeCell ref="K34:O34"/>
    <mergeCell ref="E38:J38"/>
    <mergeCell ref="K38:O38"/>
    <mergeCell ref="B41:E41"/>
    <mergeCell ref="B64:D64"/>
    <mergeCell ref="B53:D53"/>
    <mergeCell ref="B54:D54"/>
    <mergeCell ref="B43:D43"/>
    <mergeCell ref="B31:D31"/>
    <mergeCell ref="E34:J34"/>
    <mergeCell ref="B2:D2"/>
    <mergeCell ref="B3:D3"/>
    <mergeCell ref="B12:E12"/>
    <mergeCell ref="B13:D13"/>
    <mergeCell ref="B29:E2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E45"/>
  <sheetViews>
    <sheetView zoomScale="90" zoomScaleNormal="90" workbookViewId="0">
      <selection activeCell="H6" sqref="H6"/>
    </sheetView>
  </sheetViews>
  <sheetFormatPr defaultRowHeight="24.6" x14ac:dyDescent="0.7"/>
  <cols>
    <col min="1" max="1" width="8.88671875" style="45"/>
    <col min="2" max="2" width="26.44140625" style="252" customWidth="1"/>
    <col min="3" max="3" width="42.44140625" style="252" customWidth="1"/>
    <col min="4" max="4" width="20.21875" style="45" customWidth="1"/>
    <col min="5" max="5" width="13.21875" style="266" customWidth="1"/>
    <col min="6" max="16384" width="8.88671875" style="45"/>
  </cols>
  <sheetData>
    <row r="1" spans="2:5" x14ac:dyDescent="0.7">
      <c r="B1" s="329" t="s">
        <v>166</v>
      </c>
      <c r="C1" s="329"/>
      <c r="D1" s="329"/>
      <c r="E1" s="329"/>
    </row>
    <row r="2" spans="2:5" ht="49.95" customHeight="1" x14ac:dyDescent="0.7">
      <c r="C2" s="330" t="s">
        <v>117</v>
      </c>
      <c r="D2" s="330"/>
      <c r="E2" s="330"/>
    </row>
    <row r="3" spans="2:5" ht="73.8" x14ac:dyDescent="0.7">
      <c r="B3" s="253" t="s">
        <v>118</v>
      </c>
      <c r="C3" s="254" t="s">
        <v>119</v>
      </c>
      <c r="D3" s="255" t="s">
        <v>120</v>
      </c>
      <c r="E3" s="256" t="s">
        <v>121</v>
      </c>
    </row>
    <row r="4" spans="2:5" x14ac:dyDescent="0.7">
      <c r="B4" s="331" t="s">
        <v>122</v>
      </c>
      <c r="C4" s="257" t="s">
        <v>167</v>
      </c>
      <c r="D4" s="235">
        <v>4.45</v>
      </c>
      <c r="E4" s="334">
        <f>AVERAGE(D4:D8)</f>
        <v>4.4939999999999998</v>
      </c>
    </row>
    <row r="5" spans="2:5" x14ac:dyDescent="0.7">
      <c r="B5" s="332"/>
      <c r="C5" s="257" t="s">
        <v>168</v>
      </c>
      <c r="D5" s="235">
        <v>4.71</v>
      </c>
      <c r="E5" s="335"/>
    </row>
    <row r="6" spans="2:5" x14ac:dyDescent="0.7">
      <c r="B6" s="332"/>
      <c r="C6" s="257" t="s">
        <v>169</v>
      </c>
      <c r="D6" s="235">
        <v>4.33</v>
      </c>
      <c r="E6" s="335"/>
    </row>
    <row r="7" spans="2:5" x14ac:dyDescent="0.7">
      <c r="B7" s="332"/>
      <c r="C7" s="257" t="s">
        <v>170</v>
      </c>
      <c r="D7" s="235">
        <v>4.49</v>
      </c>
      <c r="E7" s="335"/>
    </row>
    <row r="8" spans="2:5" x14ac:dyDescent="0.7">
      <c r="B8" s="333"/>
      <c r="C8" s="257" t="s">
        <v>171</v>
      </c>
      <c r="D8" s="235">
        <v>4.49</v>
      </c>
      <c r="E8" s="336"/>
    </row>
    <row r="9" spans="2:5" x14ac:dyDescent="0.7">
      <c r="B9" s="258"/>
      <c r="C9" s="258"/>
      <c r="D9" s="236"/>
      <c r="E9" s="259"/>
    </row>
    <row r="10" spans="2:5" x14ac:dyDescent="0.7">
      <c r="B10" s="337" t="s">
        <v>123</v>
      </c>
      <c r="C10" s="260" t="s">
        <v>172</v>
      </c>
      <c r="D10" s="235">
        <v>4.6100000000000003</v>
      </c>
      <c r="E10" s="340">
        <f>AVERAGE(D10:D13)</f>
        <v>4.4624999999999995</v>
      </c>
    </row>
    <row r="11" spans="2:5" x14ac:dyDescent="0.7">
      <c r="B11" s="338"/>
      <c r="C11" s="260" t="s">
        <v>173</v>
      </c>
      <c r="D11" s="235">
        <v>4.4800000000000004</v>
      </c>
      <c r="E11" s="341"/>
    </row>
    <row r="12" spans="2:5" x14ac:dyDescent="0.7">
      <c r="B12" s="338"/>
      <c r="C12" s="260" t="s">
        <v>174</v>
      </c>
      <c r="D12" s="235">
        <v>4.38</v>
      </c>
      <c r="E12" s="341"/>
    </row>
    <row r="13" spans="2:5" x14ac:dyDescent="0.7">
      <c r="B13" s="339"/>
      <c r="C13" s="260" t="s">
        <v>175</v>
      </c>
      <c r="D13" s="235">
        <v>4.38</v>
      </c>
      <c r="E13" s="342"/>
    </row>
    <row r="14" spans="2:5" x14ac:dyDescent="0.7">
      <c r="B14" s="258"/>
      <c r="C14" s="258"/>
      <c r="D14" s="236"/>
      <c r="E14" s="259"/>
    </row>
    <row r="15" spans="2:5" ht="49.2" x14ac:dyDescent="0.7">
      <c r="B15" s="345" t="s">
        <v>124</v>
      </c>
      <c r="C15" s="261" t="s">
        <v>176</v>
      </c>
      <c r="D15" s="235">
        <v>4.55</v>
      </c>
      <c r="E15" s="348">
        <f>AVERAGE(D15:D18)</f>
        <v>4.55</v>
      </c>
    </row>
    <row r="16" spans="2:5" x14ac:dyDescent="0.7">
      <c r="B16" s="346"/>
      <c r="C16" s="261" t="s">
        <v>177</v>
      </c>
      <c r="D16" s="235">
        <v>4.55</v>
      </c>
      <c r="E16" s="349"/>
    </row>
    <row r="17" spans="2:5" ht="49.2" x14ac:dyDescent="0.7">
      <c r="B17" s="346"/>
      <c r="C17" s="261" t="s">
        <v>178</v>
      </c>
      <c r="D17" s="235">
        <v>4.55</v>
      </c>
      <c r="E17" s="349"/>
    </row>
    <row r="18" spans="2:5" ht="49.2" x14ac:dyDescent="0.7">
      <c r="B18" s="347"/>
      <c r="C18" s="261" t="s">
        <v>179</v>
      </c>
      <c r="D18" s="235">
        <v>4.55</v>
      </c>
      <c r="E18" s="350"/>
    </row>
    <row r="19" spans="2:5" x14ac:dyDescent="0.7">
      <c r="B19" s="258"/>
      <c r="C19" s="258"/>
      <c r="D19" s="236"/>
      <c r="E19" s="259"/>
    </row>
    <row r="20" spans="2:5" ht="28.95" customHeight="1" x14ac:dyDescent="0.7">
      <c r="B20" s="351" t="s">
        <v>125</v>
      </c>
      <c r="C20" s="262" t="s">
        <v>180</v>
      </c>
      <c r="D20" s="235">
        <v>4.45</v>
      </c>
      <c r="E20" s="354">
        <f>AVERAGE(D20:D23)</f>
        <v>4.3525</v>
      </c>
    </row>
    <row r="21" spans="2:5" x14ac:dyDescent="0.7">
      <c r="B21" s="352"/>
      <c r="C21" s="262" t="s">
        <v>181</v>
      </c>
      <c r="D21" s="235">
        <v>4.22</v>
      </c>
      <c r="E21" s="355"/>
    </row>
    <row r="22" spans="2:5" x14ac:dyDescent="0.7">
      <c r="B22" s="352"/>
      <c r="C22" s="262" t="s">
        <v>182</v>
      </c>
      <c r="D22" s="235">
        <v>4.37</v>
      </c>
      <c r="E22" s="355"/>
    </row>
    <row r="23" spans="2:5" x14ac:dyDescent="0.7">
      <c r="B23" s="353"/>
      <c r="C23" s="262" t="s">
        <v>183</v>
      </c>
      <c r="D23" s="235">
        <v>4.37</v>
      </c>
      <c r="E23" s="356"/>
    </row>
    <row r="24" spans="2:5" x14ac:dyDescent="0.7">
      <c r="B24" s="258"/>
      <c r="C24" s="258"/>
      <c r="D24" s="236"/>
      <c r="E24" s="259"/>
    </row>
    <row r="25" spans="2:5" ht="43.5" customHeight="1" x14ac:dyDescent="0.7">
      <c r="B25" s="357" t="s">
        <v>126</v>
      </c>
      <c r="C25" s="263" t="s">
        <v>184</v>
      </c>
      <c r="D25" s="235">
        <v>4.55</v>
      </c>
      <c r="E25" s="360">
        <f>AVERAGE(D25:D28)</f>
        <v>4.55</v>
      </c>
    </row>
    <row r="26" spans="2:5" ht="49.2" x14ac:dyDescent="0.7">
      <c r="B26" s="358"/>
      <c r="C26" s="263" t="s">
        <v>185</v>
      </c>
      <c r="D26" s="235">
        <v>4.49</v>
      </c>
      <c r="E26" s="360"/>
    </row>
    <row r="27" spans="2:5" x14ac:dyDescent="0.7">
      <c r="B27" s="358"/>
      <c r="C27" s="263" t="s">
        <v>186</v>
      </c>
      <c r="D27" s="235">
        <v>4.6500000000000004</v>
      </c>
      <c r="E27" s="360"/>
    </row>
    <row r="28" spans="2:5" ht="49.2" x14ac:dyDescent="0.7">
      <c r="B28" s="359"/>
      <c r="C28" s="264" t="s">
        <v>187</v>
      </c>
      <c r="D28" s="235">
        <v>4.51</v>
      </c>
      <c r="E28" s="360"/>
    </row>
    <row r="29" spans="2:5" x14ac:dyDescent="0.7">
      <c r="B29" s="361" t="s">
        <v>127</v>
      </c>
      <c r="C29" s="362"/>
      <c r="D29" s="265">
        <f>AVERAGE(D4:D28)</f>
        <v>4.4823809523809528</v>
      </c>
    </row>
    <row r="30" spans="2:5" x14ac:dyDescent="0.7">
      <c r="B30" s="267"/>
      <c r="C30" s="267"/>
      <c r="D30" s="268"/>
      <c r="E30" s="269"/>
    </row>
    <row r="31" spans="2:5" x14ac:dyDescent="0.7">
      <c r="B31" s="267"/>
      <c r="C31" s="267"/>
      <c r="D31" s="268"/>
      <c r="E31" s="269"/>
    </row>
    <row r="32" spans="2:5" ht="32.549999999999997" customHeight="1" x14ac:dyDescent="0.7">
      <c r="C32" s="363" t="s">
        <v>188</v>
      </c>
      <c r="D32" s="363"/>
      <c r="E32" s="363"/>
    </row>
    <row r="33" spans="2:5" ht="73.8" x14ac:dyDescent="0.7">
      <c r="B33" s="253" t="s">
        <v>118</v>
      </c>
      <c r="C33" s="254" t="s">
        <v>119</v>
      </c>
      <c r="D33" s="255" t="s">
        <v>120</v>
      </c>
      <c r="E33" s="256" t="s">
        <v>121</v>
      </c>
    </row>
    <row r="34" spans="2:5" ht="49.2" x14ac:dyDescent="0.7">
      <c r="B34" s="270" t="s">
        <v>189</v>
      </c>
      <c r="C34" s="257" t="s">
        <v>190</v>
      </c>
      <c r="D34" s="235">
        <v>4.45</v>
      </c>
      <c r="E34" s="334">
        <f>AVERAGE(D34:D36)</f>
        <v>4.496666666666667</v>
      </c>
    </row>
    <row r="35" spans="2:5" x14ac:dyDescent="0.7">
      <c r="B35" s="271"/>
      <c r="C35" s="257" t="s">
        <v>191</v>
      </c>
      <c r="D35" s="235">
        <v>4.71</v>
      </c>
      <c r="E35" s="335"/>
    </row>
    <row r="36" spans="2:5" ht="73.8" x14ac:dyDescent="0.7">
      <c r="B36" s="271"/>
      <c r="C36" s="257" t="s">
        <v>192</v>
      </c>
      <c r="D36" s="235">
        <v>4.33</v>
      </c>
      <c r="E36" s="335"/>
    </row>
    <row r="37" spans="2:5" x14ac:dyDescent="0.7">
      <c r="B37" s="258"/>
      <c r="C37" s="258"/>
      <c r="D37" s="236"/>
      <c r="E37" s="259"/>
    </row>
    <row r="38" spans="2:5" ht="49.2" x14ac:dyDescent="0.7">
      <c r="B38" s="272" t="s">
        <v>193</v>
      </c>
      <c r="C38" s="260" t="s">
        <v>194</v>
      </c>
      <c r="D38" s="235">
        <v>4.6100000000000003</v>
      </c>
      <c r="E38" s="340">
        <f>AVERAGE(D38:D40)</f>
        <v>4.4899999999999993</v>
      </c>
    </row>
    <row r="39" spans="2:5" ht="49.2" x14ac:dyDescent="0.7">
      <c r="B39" s="273"/>
      <c r="C39" s="260" t="s">
        <v>195</v>
      </c>
      <c r="D39" s="235">
        <v>4.4800000000000004</v>
      </c>
      <c r="E39" s="341"/>
    </row>
    <row r="40" spans="2:5" ht="49.2" x14ac:dyDescent="0.7">
      <c r="B40" s="273"/>
      <c r="C40" s="260" t="s">
        <v>196</v>
      </c>
      <c r="D40" s="235">
        <v>4.38</v>
      </c>
      <c r="E40" s="341"/>
    </row>
    <row r="41" spans="2:5" x14ac:dyDescent="0.7">
      <c r="B41" s="258"/>
      <c r="C41" s="258"/>
      <c r="D41" s="236"/>
      <c r="E41" s="259"/>
    </row>
    <row r="42" spans="2:5" ht="49.2" x14ac:dyDescent="0.7">
      <c r="B42" s="274" t="s">
        <v>197</v>
      </c>
      <c r="C42" s="261" t="s">
        <v>198</v>
      </c>
      <c r="D42" s="235">
        <v>4.55</v>
      </c>
      <c r="E42" s="348">
        <f>AVERAGE(D42:D43)</f>
        <v>4.55</v>
      </c>
    </row>
    <row r="43" spans="2:5" ht="49.2" x14ac:dyDescent="0.7">
      <c r="B43" s="275"/>
      <c r="C43" s="261" t="s">
        <v>199</v>
      </c>
      <c r="D43" s="235">
        <v>4.55</v>
      </c>
      <c r="E43" s="349"/>
    </row>
    <row r="44" spans="2:5" x14ac:dyDescent="0.7">
      <c r="B44" s="258"/>
      <c r="C44" s="258"/>
      <c r="D44" s="236"/>
      <c r="E44" s="259"/>
    </row>
    <row r="45" spans="2:5" ht="25.2" thickBot="1" x14ac:dyDescent="0.75">
      <c r="B45" s="343" t="s">
        <v>200</v>
      </c>
      <c r="C45" s="344"/>
      <c r="D45" s="276">
        <f>AVERAGE(D34:D44)</f>
        <v>4.5075000000000003</v>
      </c>
    </row>
  </sheetData>
  <mergeCells count="18">
    <mergeCell ref="B45:C45"/>
    <mergeCell ref="B15:B18"/>
    <mergeCell ref="E15:E18"/>
    <mergeCell ref="B20:B23"/>
    <mergeCell ref="E20:E23"/>
    <mergeCell ref="B25:B28"/>
    <mergeCell ref="E25:E28"/>
    <mergeCell ref="B29:C29"/>
    <mergeCell ref="C32:E32"/>
    <mergeCell ref="E34:E36"/>
    <mergeCell ref="E38:E40"/>
    <mergeCell ref="E42:E43"/>
    <mergeCell ref="B1:E1"/>
    <mergeCell ref="C2:E2"/>
    <mergeCell ref="B4:B8"/>
    <mergeCell ref="E4:E8"/>
    <mergeCell ref="B10:B13"/>
    <mergeCell ref="E10:E1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K24"/>
  <sheetViews>
    <sheetView zoomScaleNormal="100" workbookViewId="0">
      <selection activeCell="B6" sqref="B6"/>
    </sheetView>
  </sheetViews>
  <sheetFormatPr defaultRowHeight="14.4" x14ac:dyDescent="0.3"/>
  <cols>
    <col min="1" max="1" width="14.21875" customWidth="1"/>
    <col min="2" max="2" width="12.5546875" customWidth="1"/>
  </cols>
  <sheetData>
    <row r="2" spans="1:9" ht="15" thickBot="1" x14ac:dyDescent="0.35">
      <c r="A2" s="365" t="s">
        <v>100</v>
      </c>
      <c r="B2" s="365"/>
      <c r="C2" s="365"/>
      <c r="D2" s="365"/>
      <c r="E2" s="365"/>
      <c r="F2" s="365"/>
      <c r="G2" s="365"/>
      <c r="H2" s="365"/>
    </row>
    <row r="3" spans="1:9" x14ac:dyDescent="0.3">
      <c r="A3" s="366" t="s">
        <v>93</v>
      </c>
      <c r="B3" s="367"/>
      <c r="C3" s="79"/>
      <c r="D3" s="79"/>
      <c r="E3" s="79"/>
      <c r="F3" s="79"/>
      <c r="G3" s="79"/>
      <c r="H3" s="80"/>
    </row>
    <row r="4" spans="1:9" ht="15" thickBot="1" x14ac:dyDescent="0.35">
      <c r="A4" s="368" t="s">
        <v>94</v>
      </c>
      <c r="B4" s="369"/>
      <c r="C4">
        <v>2560</v>
      </c>
      <c r="D4">
        <f>C4+1</f>
        <v>2561</v>
      </c>
      <c r="E4">
        <f t="shared" ref="E4:H4" si="0">D4+1</f>
        <v>2562</v>
      </c>
      <c r="F4">
        <f t="shared" si="0"/>
        <v>2563</v>
      </c>
      <c r="G4">
        <f t="shared" si="0"/>
        <v>2564</v>
      </c>
      <c r="H4" s="105">
        <f t="shared" si="0"/>
        <v>2565</v>
      </c>
    </row>
    <row r="5" spans="1:9" ht="30" customHeight="1" x14ac:dyDescent="0.3">
      <c r="A5" s="75" t="s">
        <v>95</v>
      </c>
      <c r="B5" s="75">
        <v>2560</v>
      </c>
      <c r="C5" s="106">
        <v>88</v>
      </c>
      <c r="D5" s="82">
        <v>70</v>
      </c>
      <c r="E5" s="82">
        <v>64</v>
      </c>
      <c r="F5" s="82">
        <v>57</v>
      </c>
      <c r="G5" s="82">
        <v>7</v>
      </c>
      <c r="H5" s="83">
        <v>2</v>
      </c>
      <c r="I5" t="s">
        <v>211</v>
      </c>
    </row>
    <row r="6" spans="1:9" s="104" customFormat="1" ht="15" thickBot="1" x14ac:dyDescent="0.35">
      <c r="A6" s="149" t="s">
        <v>97</v>
      </c>
      <c r="B6" s="149"/>
      <c r="C6" s="150"/>
      <c r="D6" s="151">
        <f>D5/C5*100</f>
        <v>79.545454545454547</v>
      </c>
      <c r="E6" s="151">
        <f>E5/D5*100</f>
        <v>91.428571428571431</v>
      </c>
      <c r="F6" s="152">
        <f>F5/E5*100</f>
        <v>89.0625</v>
      </c>
      <c r="G6" s="151">
        <f>G5/F5*100</f>
        <v>12.280701754385964</v>
      </c>
      <c r="H6" s="153">
        <f>H5/G5*100</f>
        <v>28.571428571428569</v>
      </c>
      <c r="I6" s="104" t="s">
        <v>212</v>
      </c>
    </row>
    <row r="7" spans="1:9" ht="31.5" customHeight="1" x14ac:dyDescent="0.3">
      <c r="A7" s="75" t="s">
        <v>95</v>
      </c>
      <c r="B7" s="75">
        <f>B5+1</f>
        <v>2561</v>
      </c>
      <c r="C7" s="81"/>
      <c r="D7" s="107">
        <v>88</v>
      </c>
      <c r="E7" s="82">
        <v>78</v>
      </c>
      <c r="F7" s="82">
        <v>75</v>
      </c>
      <c r="G7" s="82">
        <v>43</v>
      </c>
      <c r="H7" s="83">
        <v>8</v>
      </c>
      <c r="I7" t="s">
        <v>211</v>
      </c>
    </row>
    <row r="8" spans="1:9" s="104" customFormat="1" ht="15" thickBot="1" x14ac:dyDescent="0.35">
      <c r="A8" s="149" t="s">
        <v>97</v>
      </c>
      <c r="B8" s="149"/>
      <c r="C8" s="150"/>
      <c r="D8" s="154"/>
      <c r="E8" s="151">
        <f>E7/D7*100</f>
        <v>88.63636363636364</v>
      </c>
      <c r="F8" s="155">
        <f>F7/E7*100</f>
        <v>96.15384615384616</v>
      </c>
      <c r="G8" s="152">
        <f>G7/F7*100</f>
        <v>57.333333333333336</v>
      </c>
      <c r="H8" s="151">
        <f>H7/G7*100</f>
        <v>18.604651162790699</v>
      </c>
      <c r="I8" s="104" t="s">
        <v>212</v>
      </c>
    </row>
    <row r="9" spans="1:9" ht="31.5" customHeight="1" x14ac:dyDescent="0.3">
      <c r="A9" s="75" t="s">
        <v>95</v>
      </c>
      <c r="B9" s="75">
        <f>B7+1</f>
        <v>2562</v>
      </c>
      <c r="C9" s="81"/>
      <c r="D9" s="82"/>
      <c r="E9" s="107">
        <v>84</v>
      </c>
      <c r="F9" s="82">
        <v>78</v>
      </c>
      <c r="G9" s="82">
        <v>71</v>
      </c>
      <c r="H9" s="83">
        <v>67</v>
      </c>
      <c r="I9" t="s">
        <v>211</v>
      </c>
    </row>
    <row r="10" spans="1:9" s="104" customFormat="1" ht="15" thickBot="1" x14ac:dyDescent="0.35">
      <c r="A10" s="149" t="s">
        <v>97</v>
      </c>
      <c r="B10" s="149"/>
      <c r="C10" s="150"/>
      <c r="D10" s="154"/>
      <c r="E10" s="154"/>
      <c r="F10" s="156">
        <f>F9/E9*100</f>
        <v>92.857142857142861</v>
      </c>
      <c r="G10" s="155">
        <f>G9/F9*100</f>
        <v>91.025641025641022</v>
      </c>
      <c r="H10" s="152">
        <f>H9/G9*100</f>
        <v>94.366197183098592</v>
      </c>
      <c r="I10" s="104" t="s">
        <v>212</v>
      </c>
    </row>
    <row r="11" spans="1:9" ht="33.450000000000003" customHeight="1" x14ac:dyDescent="0.3">
      <c r="A11" s="75" t="s">
        <v>95</v>
      </c>
      <c r="B11" s="75">
        <f>B9+1</f>
        <v>2563</v>
      </c>
      <c r="C11" s="81"/>
      <c r="D11" s="82"/>
      <c r="E11" s="82"/>
      <c r="F11" s="107">
        <v>105</v>
      </c>
      <c r="G11" s="82">
        <v>69</v>
      </c>
      <c r="H11" s="83">
        <v>68</v>
      </c>
      <c r="I11" t="s">
        <v>211</v>
      </c>
    </row>
    <row r="12" spans="1:9" s="104" customFormat="1" ht="15" thickBot="1" x14ac:dyDescent="0.35">
      <c r="A12" s="149" t="s">
        <v>97</v>
      </c>
      <c r="B12" s="149"/>
      <c r="C12" s="150"/>
      <c r="D12" s="154"/>
      <c r="E12" s="154"/>
      <c r="F12" s="154"/>
      <c r="G12" s="156">
        <f>G11/F11*100</f>
        <v>65.714285714285708</v>
      </c>
      <c r="H12" s="155">
        <f>H11/G11*100</f>
        <v>98.550724637681171</v>
      </c>
      <c r="I12" s="104" t="s">
        <v>212</v>
      </c>
    </row>
    <row r="13" spans="1:9" ht="31.95" customHeight="1" x14ac:dyDescent="0.3">
      <c r="A13" s="75" t="s">
        <v>95</v>
      </c>
      <c r="B13" s="75">
        <f>B11+1</f>
        <v>2564</v>
      </c>
      <c r="C13" s="81"/>
      <c r="D13" s="82"/>
      <c r="E13" s="82"/>
      <c r="F13" s="82"/>
      <c r="G13" s="107">
        <v>103</v>
      </c>
      <c r="H13" s="83">
        <v>77</v>
      </c>
      <c r="I13" t="s">
        <v>211</v>
      </c>
    </row>
    <row r="14" spans="1:9" s="104" customFormat="1" ht="15" thickBot="1" x14ac:dyDescent="0.35">
      <c r="A14" s="149" t="s">
        <v>97</v>
      </c>
      <c r="B14" s="149"/>
      <c r="C14" s="150"/>
      <c r="D14" s="154"/>
      <c r="E14" s="154"/>
      <c r="F14" s="154"/>
      <c r="G14" s="154"/>
      <c r="H14" s="156">
        <f>H13/G13*100</f>
        <v>74.757281553398059</v>
      </c>
      <c r="I14" s="104" t="s">
        <v>212</v>
      </c>
    </row>
    <row r="15" spans="1:9" ht="28.95" customHeight="1" x14ac:dyDescent="0.3">
      <c r="A15" s="75" t="s">
        <v>95</v>
      </c>
      <c r="B15" s="75">
        <f>B13+1</f>
        <v>2565</v>
      </c>
      <c r="C15" s="81"/>
      <c r="D15" s="82"/>
      <c r="E15" s="82"/>
      <c r="F15" s="82"/>
      <c r="G15" s="82"/>
      <c r="H15" s="108">
        <v>93</v>
      </c>
      <c r="I15" t="s">
        <v>211</v>
      </c>
    </row>
    <row r="16" spans="1:9" s="104" customFormat="1" ht="15" thickBot="1" x14ac:dyDescent="0.35">
      <c r="A16" s="149" t="s">
        <v>97</v>
      </c>
      <c r="B16" s="149"/>
      <c r="C16" s="195">
        <f>SUM(C5,C7,C9,C11,C13,C15)</f>
        <v>88</v>
      </c>
      <c r="D16" s="195">
        <f t="shared" ref="D16:H16" si="1">SUM(D5,D7,D9,D11,D13,D15)</f>
        <v>158</v>
      </c>
      <c r="E16" s="195">
        <f t="shared" si="1"/>
        <v>226</v>
      </c>
      <c r="F16" s="195">
        <f t="shared" si="1"/>
        <v>315</v>
      </c>
      <c r="G16" s="195">
        <f t="shared" si="1"/>
        <v>293</v>
      </c>
      <c r="H16" s="195">
        <f t="shared" si="1"/>
        <v>315</v>
      </c>
    </row>
    <row r="17" spans="1:11" s="104" customFormat="1" x14ac:dyDescent="0.3">
      <c r="A17" s="197"/>
    </row>
    <row r="18" spans="1:11" x14ac:dyDescent="0.3">
      <c r="A18" s="78" t="s">
        <v>101</v>
      </c>
    </row>
    <row r="19" spans="1:11" x14ac:dyDescent="0.3">
      <c r="A19" s="84" t="s">
        <v>102</v>
      </c>
      <c r="B19" s="84"/>
      <c r="C19" s="84"/>
      <c r="D19" s="84"/>
      <c r="E19" s="140">
        <f>H14</f>
        <v>74.757281553398059</v>
      </c>
      <c r="F19" s="86" t="s">
        <v>98</v>
      </c>
      <c r="G19" s="140">
        <f>G12</f>
        <v>65.714285714285708</v>
      </c>
      <c r="H19" s="86" t="s">
        <v>98</v>
      </c>
      <c r="I19" s="140">
        <f>F10</f>
        <v>92.857142857142861</v>
      </c>
      <c r="J19" s="76" t="s">
        <v>96</v>
      </c>
      <c r="K19" s="157">
        <f>AVERAGE(H14,G12,F10)</f>
        <v>77.776236708275547</v>
      </c>
    </row>
    <row r="20" spans="1:11" x14ac:dyDescent="0.3">
      <c r="E20" s="364">
        <v>3</v>
      </c>
      <c r="F20" s="364"/>
      <c r="G20" s="364"/>
      <c r="H20" s="364"/>
      <c r="I20" s="364"/>
    </row>
    <row r="21" spans="1:11" x14ac:dyDescent="0.3">
      <c r="A21" s="74" t="s">
        <v>103</v>
      </c>
      <c r="B21" s="74"/>
      <c r="C21" s="74"/>
      <c r="D21" s="74"/>
      <c r="E21" s="140">
        <f>H12</f>
        <v>98.550724637681171</v>
      </c>
      <c r="F21" s="86" t="s">
        <v>98</v>
      </c>
      <c r="G21" s="140">
        <f>G10</f>
        <v>91.025641025641022</v>
      </c>
      <c r="H21" s="86" t="s">
        <v>98</v>
      </c>
      <c r="I21" s="140">
        <f>F8</f>
        <v>96.15384615384616</v>
      </c>
      <c r="J21" s="76" t="s">
        <v>96</v>
      </c>
      <c r="K21" s="158">
        <f>AVERAGE(H12,G10,F8)</f>
        <v>95.243403939056108</v>
      </c>
    </row>
    <row r="22" spans="1:11" x14ac:dyDescent="0.3">
      <c r="E22" s="364">
        <v>3</v>
      </c>
      <c r="F22" s="364"/>
      <c r="G22" s="364"/>
      <c r="H22" s="364"/>
      <c r="I22" s="364"/>
    </row>
    <row r="23" spans="1:11" x14ac:dyDescent="0.3">
      <c r="A23" s="87" t="s">
        <v>104</v>
      </c>
      <c r="B23" s="87"/>
      <c r="C23" s="87"/>
      <c r="D23" s="87"/>
      <c r="E23" s="140">
        <f>H10</f>
        <v>94.366197183098592</v>
      </c>
      <c r="F23" s="86" t="s">
        <v>98</v>
      </c>
      <c r="G23" s="140">
        <f>G8</f>
        <v>57.333333333333336</v>
      </c>
      <c r="H23" s="86" t="s">
        <v>98</v>
      </c>
      <c r="I23" s="140">
        <f>F6</f>
        <v>89.0625</v>
      </c>
      <c r="J23" s="76" t="s">
        <v>96</v>
      </c>
      <c r="K23" s="159">
        <f>AVERAGE(H10,G8,F6)</f>
        <v>80.254010172143978</v>
      </c>
    </row>
    <row r="24" spans="1:11" x14ac:dyDescent="0.3">
      <c r="E24" s="364">
        <v>3</v>
      </c>
      <c r="F24" s="364"/>
      <c r="G24" s="364"/>
      <c r="H24" s="364"/>
      <c r="I24" s="364"/>
    </row>
  </sheetData>
  <mergeCells count="6">
    <mergeCell ref="E24:I24"/>
    <mergeCell ref="A2:H2"/>
    <mergeCell ref="A3:B3"/>
    <mergeCell ref="A4:B4"/>
    <mergeCell ref="E20:I20"/>
    <mergeCell ref="E22:I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L28"/>
  <sheetViews>
    <sheetView topLeftCell="A4" workbookViewId="0">
      <selection activeCell="E4" sqref="E4"/>
    </sheetView>
  </sheetViews>
  <sheetFormatPr defaultRowHeight="14.4" x14ac:dyDescent="0.3"/>
  <cols>
    <col min="1" max="1" width="14.21875" customWidth="1"/>
    <col min="2" max="2" width="12.5546875" customWidth="1"/>
    <col min="3" max="3" width="9.5546875" customWidth="1"/>
  </cols>
  <sheetData>
    <row r="2" spans="1:10" ht="15" thickBot="1" x14ac:dyDescent="0.35">
      <c r="A2" s="365" t="s">
        <v>100</v>
      </c>
      <c r="B2" s="365"/>
      <c r="C2" s="365"/>
      <c r="D2" s="365"/>
      <c r="E2" s="365"/>
      <c r="F2" s="365"/>
      <c r="G2" s="365"/>
      <c r="H2" s="365"/>
      <c r="I2" s="365"/>
    </row>
    <row r="3" spans="1:10" x14ac:dyDescent="0.3">
      <c r="A3" s="366" t="s">
        <v>93</v>
      </c>
      <c r="B3" s="367"/>
      <c r="C3" s="132"/>
      <c r="D3" s="79"/>
      <c r="E3" s="79"/>
      <c r="F3" s="79"/>
      <c r="G3" s="79"/>
      <c r="H3" s="79"/>
      <c r="I3" s="80"/>
    </row>
    <row r="4" spans="1:10" ht="15" thickBot="1" x14ac:dyDescent="0.35">
      <c r="A4" s="368" t="s">
        <v>94</v>
      </c>
      <c r="B4" s="369"/>
      <c r="C4" s="133">
        <v>2559</v>
      </c>
      <c r="D4">
        <v>2560</v>
      </c>
      <c r="E4">
        <f>D4+1</f>
        <v>2561</v>
      </c>
      <c r="F4">
        <f t="shared" ref="F4:I4" si="0">E4+1</f>
        <v>2562</v>
      </c>
      <c r="G4">
        <f t="shared" si="0"/>
        <v>2563</v>
      </c>
      <c r="H4">
        <f t="shared" si="0"/>
        <v>2564</v>
      </c>
      <c r="I4" s="105">
        <f t="shared" si="0"/>
        <v>2565</v>
      </c>
    </row>
    <row r="5" spans="1:10" ht="24" customHeight="1" x14ac:dyDescent="0.3">
      <c r="A5" s="75" t="s">
        <v>95</v>
      </c>
      <c r="B5" s="75">
        <v>2559</v>
      </c>
      <c r="C5" s="135">
        <v>60</v>
      </c>
      <c r="D5" s="134">
        <v>30</v>
      </c>
      <c r="E5" s="82">
        <v>20</v>
      </c>
      <c r="F5" s="82">
        <v>19</v>
      </c>
      <c r="G5" s="82">
        <v>15</v>
      </c>
      <c r="H5" s="82">
        <v>14</v>
      </c>
      <c r="I5" s="83">
        <v>10</v>
      </c>
      <c r="J5" t="s">
        <v>211</v>
      </c>
    </row>
    <row r="6" spans="1:10" s="104" customFormat="1" ht="15" thickBot="1" x14ac:dyDescent="0.35">
      <c r="A6" s="149" t="s">
        <v>97</v>
      </c>
      <c r="B6" s="149"/>
      <c r="C6" s="149"/>
      <c r="D6" s="188">
        <f t="shared" ref="D6:I6" si="1">D5/C5*100</f>
        <v>50</v>
      </c>
      <c r="E6" s="151">
        <f t="shared" si="1"/>
        <v>66.666666666666657</v>
      </c>
      <c r="F6" s="151">
        <f t="shared" si="1"/>
        <v>95</v>
      </c>
      <c r="G6" s="189">
        <f t="shared" si="1"/>
        <v>78.94736842105263</v>
      </c>
      <c r="H6" s="190">
        <f t="shared" si="1"/>
        <v>93.333333333333329</v>
      </c>
      <c r="I6" s="153">
        <f t="shared" si="1"/>
        <v>71.428571428571431</v>
      </c>
      <c r="J6" s="104" t="s">
        <v>212</v>
      </c>
    </row>
    <row r="7" spans="1:10" ht="22.95" customHeight="1" x14ac:dyDescent="0.3">
      <c r="A7" s="75" t="s">
        <v>95</v>
      </c>
      <c r="B7" s="75">
        <v>2560</v>
      </c>
      <c r="C7" s="75"/>
      <c r="D7" s="106">
        <v>30</v>
      </c>
      <c r="E7" s="82">
        <v>20</v>
      </c>
      <c r="F7" s="82">
        <v>19</v>
      </c>
      <c r="G7" s="82">
        <v>16</v>
      </c>
      <c r="H7" s="82">
        <v>14</v>
      </c>
      <c r="I7" s="83">
        <v>10</v>
      </c>
      <c r="J7" t="s">
        <v>211</v>
      </c>
    </row>
    <row r="8" spans="1:10" s="104" customFormat="1" ht="15" thickBot="1" x14ac:dyDescent="0.35">
      <c r="A8" s="149" t="s">
        <v>97</v>
      </c>
      <c r="B8" s="149"/>
      <c r="C8" s="149"/>
      <c r="D8" s="150"/>
      <c r="E8" s="151">
        <f>E7/D7*100</f>
        <v>66.666666666666657</v>
      </c>
      <c r="F8" s="151">
        <f>F7/E7*100</f>
        <v>95</v>
      </c>
      <c r="G8" s="152">
        <f>G7/F7*100</f>
        <v>84.210526315789465</v>
      </c>
      <c r="H8" s="189">
        <f>H7/G7*100</f>
        <v>87.5</v>
      </c>
      <c r="I8" s="191">
        <f>I7/H7*100</f>
        <v>71.428571428571431</v>
      </c>
      <c r="J8" s="104" t="s">
        <v>212</v>
      </c>
    </row>
    <row r="9" spans="1:10" ht="25.05" customHeight="1" x14ac:dyDescent="0.3">
      <c r="A9" s="75" t="s">
        <v>95</v>
      </c>
      <c r="B9" s="75">
        <f>B7+1</f>
        <v>2561</v>
      </c>
      <c r="C9" s="75"/>
      <c r="D9" s="81"/>
      <c r="E9" s="107">
        <v>17</v>
      </c>
      <c r="F9" s="82">
        <v>10</v>
      </c>
      <c r="G9" s="82">
        <v>8</v>
      </c>
      <c r="H9" s="82">
        <v>6</v>
      </c>
      <c r="I9" s="83">
        <v>1</v>
      </c>
      <c r="J9" t="s">
        <v>211</v>
      </c>
    </row>
    <row r="10" spans="1:10" s="104" customFormat="1" ht="15" thickBot="1" x14ac:dyDescent="0.35">
      <c r="A10" s="149" t="s">
        <v>97</v>
      </c>
      <c r="B10" s="149"/>
      <c r="C10" s="149"/>
      <c r="D10" s="150"/>
      <c r="E10" s="154"/>
      <c r="F10" s="151">
        <f>F9/E9*100</f>
        <v>58.82352941176471</v>
      </c>
      <c r="G10" s="155">
        <f>G9/F9*100</f>
        <v>80</v>
      </c>
      <c r="H10" s="152">
        <f>H9/G9*100</f>
        <v>75</v>
      </c>
      <c r="I10" s="189">
        <f>I9/H9*100</f>
        <v>16.666666666666664</v>
      </c>
      <c r="J10" s="104" t="s">
        <v>212</v>
      </c>
    </row>
    <row r="11" spans="1:10" ht="28.5" customHeight="1" x14ac:dyDescent="0.3">
      <c r="A11" s="75" t="s">
        <v>95</v>
      </c>
      <c r="B11" s="75">
        <f>B9+1</f>
        <v>2562</v>
      </c>
      <c r="C11" s="75"/>
      <c r="D11" s="81"/>
      <c r="E11" s="82"/>
      <c r="F11" s="107">
        <v>21</v>
      </c>
      <c r="G11" s="82">
        <v>21</v>
      </c>
      <c r="H11" s="82">
        <v>5</v>
      </c>
      <c r="I11" s="83">
        <v>1</v>
      </c>
      <c r="J11" t="s">
        <v>211</v>
      </c>
    </row>
    <row r="12" spans="1:10" s="104" customFormat="1" ht="15" thickBot="1" x14ac:dyDescent="0.35">
      <c r="A12" s="149" t="s">
        <v>97</v>
      </c>
      <c r="B12" s="149"/>
      <c r="C12" s="149"/>
      <c r="D12" s="150"/>
      <c r="E12" s="154"/>
      <c r="F12" s="154"/>
      <c r="G12" s="192">
        <f>G11/F11*100</f>
        <v>100</v>
      </c>
      <c r="H12" s="193">
        <f>H11/G11*100</f>
        <v>23.809523809523807</v>
      </c>
      <c r="I12" s="194">
        <f>I11/H11*100</f>
        <v>20</v>
      </c>
      <c r="J12" s="104" t="s">
        <v>212</v>
      </c>
    </row>
    <row r="13" spans="1:10" ht="25.05" customHeight="1" x14ac:dyDescent="0.3">
      <c r="A13" s="75" t="s">
        <v>95</v>
      </c>
      <c r="B13" s="75">
        <f>B11+1</f>
        <v>2563</v>
      </c>
      <c r="C13" s="75"/>
      <c r="D13" s="81"/>
      <c r="E13" s="82"/>
      <c r="F13" s="82"/>
      <c r="G13" s="143">
        <v>23</v>
      </c>
      <c r="H13" s="144">
        <v>15</v>
      </c>
      <c r="I13" s="145">
        <v>4</v>
      </c>
      <c r="J13" t="s">
        <v>211</v>
      </c>
    </row>
    <row r="14" spans="1:10" s="104" customFormat="1" ht="15" thickBot="1" x14ac:dyDescent="0.35">
      <c r="A14" s="149" t="s">
        <v>97</v>
      </c>
      <c r="B14" s="149"/>
      <c r="C14" s="149"/>
      <c r="D14" s="150"/>
      <c r="E14" s="154"/>
      <c r="F14" s="154"/>
      <c r="G14" s="154"/>
      <c r="H14" s="156">
        <f>H13/G13*100</f>
        <v>65.217391304347828</v>
      </c>
      <c r="I14" s="155">
        <f>I13/H13*100</f>
        <v>26.666666666666668</v>
      </c>
      <c r="J14" s="104" t="s">
        <v>212</v>
      </c>
    </row>
    <row r="15" spans="1:10" ht="27.45" customHeight="1" x14ac:dyDescent="0.3">
      <c r="A15" s="75" t="s">
        <v>95</v>
      </c>
      <c r="B15" s="75">
        <f>B13+1</f>
        <v>2564</v>
      </c>
      <c r="C15" s="75"/>
      <c r="D15" s="81"/>
      <c r="E15" s="82"/>
      <c r="F15" s="82"/>
      <c r="G15" s="82"/>
      <c r="H15" s="143">
        <v>18</v>
      </c>
      <c r="I15" s="145">
        <v>2</v>
      </c>
      <c r="J15" t="s">
        <v>211</v>
      </c>
    </row>
    <row r="16" spans="1:10" s="104" customFormat="1" ht="15" thickBot="1" x14ac:dyDescent="0.35">
      <c r="A16" s="149" t="s">
        <v>97</v>
      </c>
      <c r="B16" s="149"/>
      <c r="C16" s="149"/>
      <c r="D16" s="150"/>
      <c r="E16" s="154"/>
      <c r="F16" s="154"/>
      <c r="G16" s="154"/>
      <c r="H16" s="154"/>
      <c r="I16" s="156">
        <f>I15/H15*100</f>
        <v>11.111111111111111</v>
      </c>
      <c r="J16" s="104" t="s">
        <v>212</v>
      </c>
    </row>
    <row r="17" spans="1:12" ht="30" customHeight="1" x14ac:dyDescent="0.3">
      <c r="A17" s="75" t="s">
        <v>95</v>
      </c>
      <c r="B17" s="75">
        <f>B15+1</f>
        <v>2565</v>
      </c>
      <c r="C17" s="75"/>
      <c r="D17" s="81"/>
      <c r="E17" s="82"/>
      <c r="F17" s="82"/>
      <c r="G17" s="82"/>
      <c r="H17" s="82"/>
      <c r="I17" s="108">
        <v>24</v>
      </c>
      <c r="J17" t="s">
        <v>211</v>
      </c>
    </row>
    <row r="18" spans="1:12" s="104" customFormat="1" ht="15" thickBot="1" x14ac:dyDescent="0.35">
      <c r="A18" s="149" t="s">
        <v>97</v>
      </c>
      <c r="B18" s="149"/>
      <c r="C18" s="149">
        <f>SUM(C5,C7,C9,C11,C13,C15,C17)</f>
        <v>60</v>
      </c>
      <c r="D18" s="196">
        <f t="shared" ref="D18:I18" si="2">SUM(D5,D7,D9,D11,D13,D15,D17)</f>
        <v>60</v>
      </c>
      <c r="E18" s="196">
        <f t="shared" si="2"/>
        <v>57</v>
      </c>
      <c r="F18" s="196">
        <f t="shared" si="2"/>
        <v>69</v>
      </c>
      <c r="G18" s="196">
        <f t="shared" si="2"/>
        <v>83</v>
      </c>
      <c r="H18" s="196">
        <f t="shared" si="2"/>
        <v>72</v>
      </c>
      <c r="I18" s="196">
        <f t="shared" si="2"/>
        <v>52</v>
      </c>
    </row>
    <row r="19" spans="1:12" s="104" customFormat="1" x14ac:dyDescent="0.3">
      <c r="A19" s="197"/>
    </row>
    <row r="20" spans="1:12" x14ac:dyDescent="0.3">
      <c r="A20" s="78" t="s">
        <v>101</v>
      </c>
    </row>
    <row r="21" spans="1:12" x14ac:dyDescent="0.3">
      <c r="A21" s="84" t="s">
        <v>102</v>
      </c>
      <c r="B21" s="84"/>
      <c r="C21" s="84"/>
      <c r="D21" s="84"/>
      <c r="E21" s="84"/>
      <c r="F21" s="140">
        <f>I16</f>
        <v>11.111111111111111</v>
      </c>
      <c r="G21" s="86" t="s">
        <v>98</v>
      </c>
      <c r="H21" s="140">
        <f>H14</f>
        <v>65.217391304347828</v>
      </c>
      <c r="I21" s="86" t="s">
        <v>98</v>
      </c>
      <c r="J21" s="140">
        <f>G12</f>
        <v>100</v>
      </c>
      <c r="K21" s="76" t="s">
        <v>96</v>
      </c>
      <c r="L21" s="185">
        <f>AVERAGE(I16,H14,G12)</f>
        <v>58.776167471819655</v>
      </c>
    </row>
    <row r="22" spans="1:12" x14ac:dyDescent="0.3">
      <c r="F22" s="364">
        <v>3</v>
      </c>
      <c r="G22" s="364"/>
      <c r="H22" s="364"/>
      <c r="I22" s="364"/>
      <c r="J22" s="364"/>
    </row>
    <row r="23" spans="1:12" x14ac:dyDescent="0.3">
      <c r="A23" s="74" t="s">
        <v>103</v>
      </c>
      <c r="B23" s="74"/>
      <c r="C23" s="74"/>
      <c r="D23" s="74"/>
      <c r="E23" s="74"/>
      <c r="F23" s="140">
        <f>I14</f>
        <v>26.666666666666668</v>
      </c>
      <c r="G23" s="86" t="s">
        <v>98</v>
      </c>
      <c r="H23" s="140">
        <f>H12</f>
        <v>23.809523809523807</v>
      </c>
      <c r="I23" s="86" t="s">
        <v>98</v>
      </c>
      <c r="J23" s="140">
        <f>G10</f>
        <v>80</v>
      </c>
      <c r="K23" s="76" t="s">
        <v>96</v>
      </c>
      <c r="L23" s="158">
        <f>AVERAGE(I14,H12,G10)</f>
        <v>43.492063492063494</v>
      </c>
    </row>
    <row r="24" spans="1:12" x14ac:dyDescent="0.3">
      <c r="F24" s="364">
        <v>3</v>
      </c>
      <c r="G24" s="364"/>
      <c r="H24" s="364"/>
      <c r="I24" s="364"/>
      <c r="J24" s="364"/>
    </row>
    <row r="25" spans="1:12" x14ac:dyDescent="0.3">
      <c r="A25" s="87" t="s">
        <v>104</v>
      </c>
      <c r="B25" s="87"/>
      <c r="C25" s="87"/>
      <c r="D25" s="87"/>
      <c r="E25" s="87"/>
      <c r="F25" s="140">
        <f>I12</f>
        <v>20</v>
      </c>
      <c r="G25" s="86" t="s">
        <v>98</v>
      </c>
      <c r="H25" s="140">
        <f>H10</f>
        <v>75</v>
      </c>
      <c r="I25" s="86" t="s">
        <v>98</v>
      </c>
      <c r="J25" s="140">
        <f>G8</f>
        <v>84.210526315789465</v>
      </c>
      <c r="K25" s="76" t="s">
        <v>96</v>
      </c>
      <c r="L25" s="159">
        <f>AVERAGE(I12,H10,G8)</f>
        <v>59.736842105263158</v>
      </c>
    </row>
    <row r="26" spans="1:12" x14ac:dyDescent="0.3">
      <c r="F26" s="364">
        <v>3</v>
      </c>
      <c r="G26" s="364"/>
      <c r="H26" s="364"/>
      <c r="I26" s="364"/>
      <c r="J26" s="364"/>
    </row>
    <row r="27" spans="1:12" x14ac:dyDescent="0.3">
      <c r="A27" s="136" t="s">
        <v>164</v>
      </c>
      <c r="B27" s="136"/>
      <c r="C27" s="136"/>
      <c r="D27" s="136"/>
      <c r="E27" s="136"/>
      <c r="F27" s="141">
        <f>G6</f>
        <v>78.94736842105263</v>
      </c>
      <c r="G27" s="138" t="s">
        <v>98</v>
      </c>
      <c r="H27" s="141">
        <f>H8</f>
        <v>87.5</v>
      </c>
      <c r="I27" s="138" t="s">
        <v>98</v>
      </c>
      <c r="J27" s="141">
        <f>I10</f>
        <v>16.666666666666664</v>
      </c>
      <c r="K27" s="76" t="s">
        <v>96</v>
      </c>
      <c r="L27" s="186">
        <f>AVERAGE(I10,H8,G6)</f>
        <v>61.038011695906427</v>
      </c>
    </row>
    <row r="28" spans="1:12" x14ac:dyDescent="0.3">
      <c r="H28" s="77">
        <v>3</v>
      </c>
    </row>
  </sheetData>
  <mergeCells count="6">
    <mergeCell ref="F26:J26"/>
    <mergeCell ref="A2:I2"/>
    <mergeCell ref="A3:B3"/>
    <mergeCell ref="A4:B4"/>
    <mergeCell ref="F22:J22"/>
    <mergeCell ref="F24:J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M32"/>
  <sheetViews>
    <sheetView zoomScaleNormal="100" workbookViewId="0">
      <selection activeCell="B10" sqref="B10"/>
    </sheetView>
  </sheetViews>
  <sheetFormatPr defaultRowHeight="14.4" x14ac:dyDescent="0.3"/>
  <cols>
    <col min="1" max="1" width="14.21875" customWidth="1"/>
    <col min="2" max="3" width="12.5546875" customWidth="1"/>
    <col min="4" max="4" width="9.5546875" customWidth="1"/>
  </cols>
  <sheetData>
    <row r="2" spans="1:11" ht="15" thickBot="1" x14ac:dyDescent="0.35">
      <c r="A2" s="365" t="s">
        <v>100</v>
      </c>
      <c r="B2" s="365"/>
      <c r="C2" s="365"/>
      <c r="D2" s="365"/>
      <c r="E2" s="365"/>
      <c r="F2" s="365"/>
      <c r="G2" s="365"/>
      <c r="H2" s="365"/>
      <c r="I2" s="365"/>
      <c r="J2" s="365"/>
    </row>
    <row r="3" spans="1:11" x14ac:dyDescent="0.3">
      <c r="A3" s="366" t="s">
        <v>93</v>
      </c>
      <c r="B3" s="367"/>
      <c r="C3" s="132"/>
      <c r="D3" s="132"/>
      <c r="E3" s="79"/>
      <c r="F3" s="79"/>
      <c r="G3" s="79"/>
      <c r="H3" s="79"/>
      <c r="I3" s="79"/>
      <c r="J3" s="80"/>
    </row>
    <row r="4" spans="1:11" ht="15" thickBot="1" x14ac:dyDescent="0.35">
      <c r="A4" s="368" t="s">
        <v>94</v>
      </c>
      <c r="B4" s="369"/>
      <c r="C4" s="133">
        <v>2558</v>
      </c>
      <c r="D4" s="133">
        <v>2559</v>
      </c>
      <c r="E4">
        <v>2560</v>
      </c>
      <c r="F4">
        <f>E4+1</f>
        <v>2561</v>
      </c>
      <c r="G4">
        <f t="shared" ref="G4:J4" si="0">F4+1</f>
        <v>2562</v>
      </c>
      <c r="H4">
        <f t="shared" si="0"/>
        <v>2563</v>
      </c>
      <c r="I4">
        <f t="shared" si="0"/>
        <v>2564</v>
      </c>
      <c r="J4" s="105">
        <f t="shared" si="0"/>
        <v>2565</v>
      </c>
    </row>
    <row r="5" spans="1:11" ht="19.5" customHeight="1" x14ac:dyDescent="0.3">
      <c r="A5" s="75" t="s">
        <v>95</v>
      </c>
      <c r="B5" s="75">
        <v>2558</v>
      </c>
      <c r="C5" s="135">
        <v>80</v>
      </c>
      <c r="D5" s="75">
        <v>40</v>
      </c>
      <c r="E5" s="134">
        <v>30</v>
      </c>
      <c r="F5" s="82">
        <v>20</v>
      </c>
      <c r="G5" s="82">
        <v>19</v>
      </c>
      <c r="H5" s="82">
        <v>16</v>
      </c>
      <c r="I5" s="82">
        <v>14</v>
      </c>
      <c r="J5" s="83">
        <v>10</v>
      </c>
      <c r="K5" t="s">
        <v>211</v>
      </c>
    </row>
    <row r="6" spans="1:11" s="104" customFormat="1" ht="15" thickBot="1" x14ac:dyDescent="0.35">
      <c r="A6" s="149" t="s">
        <v>97</v>
      </c>
      <c r="B6" s="149"/>
      <c r="C6" s="149"/>
      <c r="D6" s="198">
        <f t="shared" ref="D6:J6" si="1">D5/C5*100</f>
        <v>50</v>
      </c>
      <c r="E6" s="188">
        <f t="shared" si="1"/>
        <v>75</v>
      </c>
      <c r="F6" s="151">
        <f t="shared" si="1"/>
        <v>66.666666666666657</v>
      </c>
      <c r="G6" s="151">
        <f t="shared" si="1"/>
        <v>95</v>
      </c>
      <c r="H6" s="199">
        <f t="shared" si="1"/>
        <v>84.210526315789465</v>
      </c>
      <c r="I6" s="151">
        <f t="shared" si="1"/>
        <v>87.5</v>
      </c>
      <c r="J6" s="153">
        <f t="shared" si="1"/>
        <v>71.428571428571431</v>
      </c>
      <c r="K6" s="104" t="s">
        <v>212</v>
      </c>
    </row>
    <row r="7" spans="1:11" ht="19.5" customHeight="1" x14ac:dyDescent="0.3">
      <c r="A7" s="75" t="s">
        <v>95</v>
      </c>
      <c r="B7" s="75">
        <v>2559</v>
      </c>
      <c r="C7" s="75"/>
      <c r="D7" s="135">
        <v>40</v>
      </c>
      <c r="E7" s="134">
        <v>30</v>
      </c>
      <c r="F7" s="82">
        <v>20</v>
      </c>
      <c r="G7" s="82">
        <v>19</v>
      </c>
      <c r="H7" s="82">
        <v>16</v>
      </c>
      <c r="I7" s="82">
        <v>14</v>
      </c>
      <c r="J7" s="83">
        <v>10</v>
      </c>
      <c r="K7" t="s">
        <v>211</v>
      </c>
    </row>
    <row r="8" spans="1:11" s="104" customFormat="1" ht="15" thickBot="1" x14ac:dyDescent="0.35">
      <c r="A8" s="149" t="s">
        <v>97</v>
      </c>
      <c r="B8" s="149"/>
      <c r="C8" s="149"/>
      <c r="D8" s="149"/>
      <c r="E8" s="188">
        <f t="shared" ref="E8:J8" si="2">E7/D7*100</f>
        <v>75</v>
      </c>
      <c r="F8" s="151">
        <f t="shared" si="2"/>
        <v>66.666666666666657</v>
      </c>
      <c r="G8" s="151">
        <f t="shared" si="2"/>
        <v>95</v>
      </c>
      <c r="H8" s="189">
        <f t="shared" si="2"/>
        <v>84.210526315789465</v>
      </c>
      <c r="I8" s="199">
        <f t="shared" si="2"/>
        <v>87.5</v>
      </c>
      <c r="J8" s="153">
        <f t="shared" si="2"/>
        <v>71.428571428571431</v>
      </c>
      <c r="K8" s="104" t="s">
        <v>212</v>
      </c>
    </row>
    <row r="9" spans="1:11" ht="19.5" customHeight="1" x14ac:dyDescent="0.3">
      <c r="A9" s="75" t="s">
        <v>95</v>
      </c>
      <c r="B9" s="75">
        <v>2560</v>
      </c>
      <c r="C9" s="75"/>
      <c r="D9" s="75"/>
      <c r="E9" s="106">
        <v>30</v>
      </c>
      <c r="F9" s="82">
        <v>20</v>
      </c>
      <c r="G9" s="82">
        <v>19</v>
      </c>
      <c r="H9" s="82">
        <v>16</v>
      </c>
      <c r="I9" s="82">
        <v>14</v>
      </c>
      <c r="J9" s="83">
        <v>10</v>
      </c>
      <c r="K9" t="s">
        <v>211</v>
      </c>
    </row>
    <row r="10" spans="1:11" s="104" customFormat="1" ht="15" thickBot="1" x14ac:dyDescent="0.35">
      <c r="A10" s="149" t="s">
        <v>97</v>
      </c>
      <c r="B10" s="149"/>
      <c r="C10" s="149"/>
      <c r="D10" s="149"/>
      <c r="E10" s="150"/>
      <c r="F10" s="151">
        <f>F9/E9*100</f>
        <v>66.666666666666657</v>
      </c>
      <c r="G10" s="151">
        <f>G9/F9*100</f>
        <v>95</v>
      </c>
      <c r="H10" s="152">
        <f>H9/G9*100</f>
        <v>84.210526315789465</v>
      </c>
      <c r="I10" s="189">
        <f>I9/H9*100</f>
        <v>87.5</v>
      </c>
      <c r="J10" s="200">
        <f>J9/I9*100</f>
        <v>71.428571428571431</v>
      </c>
      <c r="K10" s="104" t="s">
        <v>212</v>
      </c>
    </row>
    <row r="11" spans="1:11" ht="19.5" customHeight="1" x14ac:dyDescent="0.3">
      <c r="A11" s="75" t="s">
        <v>95</v>
      </c>
      <c r="B11" s="75">
        <f>B9+1</f>
        <v>2561</v>
      </c>
      <c r="C11" s="75"/>
      <c r="D11" s="75"/>
      <c r="E11" s="81"/>
      <c r="F11" s="107">
        <v>17</v>
      </c>
      <c r="G11" s="82">
        <v>10</v>
      </c>
      <c r="H11" s="82">
        <v>8</v>
      </c>
      <c r="I11" s="82">
        <v>6</v>
      </c>
      <c r="J11" s="83">
        <v>1</v>
      </c>
      <c r="K11" t="s">
        <v>211</v>
      </c>
    </row>
    <row r="12" spans="1:11" s="104" customFormat="1" ht="15" thickBot="1" x14ac:dyDescent="0.35">
      <c r="A12" s="149" t="s">
        <v>97</v>
      </c>
      <c r="B12" s="149"/>
      <c r="C12" s="149"/>
      <c r="D12" s="149"/>
      <c r="E12" s="150"/>
      <c r="F12" s="154"/>
      <c r="G12" s="151">
        <f>G11/F11*100</f>
        <v>58.82352941176471</v>
      </c>
      <c r="H12" s="155">
        <f>H11/G11*100</f>
        <v>80</v>
      </c>
      <c r="I12" s="152">
        <f>I11/H11*100</f>
        <v>75</v>
      </c>
      <c r="J12" s="189">
        <f>J11/I11*100</f>
        <v>16.666666666666664</v>
      </c>
      <c r="K12" s="104" t="s">
        <v>212</v>
      </c>
    </row>
    <row r="13" spans="1:11" ht="19.5" customHeight="1" x14ac:dyDescent="0.3">
      <c r="A13" s="75" t="s">
        <v>95</v>
      </c>
      <c r="B13" s="75">
        <f>B11+1</f>
        <v>2562</v>
      </c>
      <c r="C13" s="75"/>
      <c r="D13" s="75"/>
      <c r="E13" s="81"/>
      <c r="F13" s="82"/>
      <c r="G13" s="107">
        <v>21</v>
      </c>
      <c r="H13" s="82">
        <v>21</v>
      </c>
      <c r="I13" s="82">
        <v>5</v>
      </c>
      <c r="J13" s="83">
        <v>1</v>
      </c>
      <c r="K13" t="s">
        <v>211</v>
      </c>
    </row>
    <row r="14" spans="1:11" s="104" customFormat="1" ht="15" thickBot="1" x14ac:dyDescent="0.35">
      <c r="A14" s="149" t="s">
        <v>97</v>
      </c>
      <c r="B14" s="149"/>
      <c r="C14" s="149"/>
      <c r="D14" s="149"/>
      <c r="E14" s="150"/>
      <c r="F14" s="154"/>
      <c r="G14" s="154"/>
      <c r="H14" s="192">
        <f>H13/G13*100</f>
        <v>100</v>
      </c>
      <c r="I14" s="193">
        <f>I13/H13*100</f>
        <v>23.809523809523807</v>
      </c>
      <c r="J14" s="194">
        <f>J13/I13*100</f>
        <v>20</v>
      </c>
      <c r="K14" s="104" t="s">
        <v>212</v>
      </c>
    </row>
    <row r="15" spans="1:11" ht="19.5" customHeight="1" x14ac:dyDescent="0.3">
      <c r="A15" s="75" t="s">
        <v>95</v>
      </c>
      <c r="B15" s="75">
        <f>B13+1</f>
        <v>2563</v>
      </c>
      <c r="C15" s="75"/>
      <c r="D15" s="75"/>
      <c r="E15" s="81"/>
      <c r="F15" s="82"/>
      <c r="G15" s="82"/>
      <c r="H15" s="143">
        <v>23</v>
      </c>
      <c r="I15" s="144">
        <v>15</v>
      </c>
      <c r="J15" s="145">
        <v>4</v>
      </c>
      <c r="K15" t="s">
        <v>211</v>
      </c>
    </row>
    <row r="16" spans="1:11" s="104" customFormat="1" ht="15" thickBot="1" x14ac:dyDescent="0.35">
      <c r="A16" s="149" t="s">
        <v>97</v>
      </c>
      <c r="B16" s="149"/>
      <c r="C16" s="149"/>
      <c r="D16" s="149"/>
      <c r="E16" s="150"/>
      <c r="F16" s="154"/>
      <c r="G16" s="154"/>
      <c r="H16" s="154"/>
      <c r="I16" s="156">
        <f>I15/H15*100</f>
        <v>65.217391304347828</v>
      </c>
      <c r="J16" s="155">
        <f>J15/I15*100</f>
        <v>26.666666666666668</v>
      </c>
      <c r="K16" s="104" t="s">
        <v>212</v>
      </c>
    </row>
    <row r="17" spans="1:13" ht="19.5" customHeight="1" x14ac:dyDescent="0.3">
      <c r="A17" s="75" t="s">
        <v>95</v>
      </c>
      <c r="B17" s="75">
        <f>B15+1</f>
        <v>2564</v>
      </c>
      <c r="C17" s="75"/>
      <c r="D17" s="75"/>
      <c r="E17" s="81"/>
      <c r="F17" s="82"/>
      <c r="G17" s="82"/>
      <c r="H17" s="82"/>
      <c r="I17" s="143">
        <v>18</v>
      </c>
      <c r="J17" s="145">
        <v>2</v>
      </c>
      <c r="K17" t="s">
        <v>211</v>
      </c>
    </row>
    <row r="18" spans="1:13" s="104" customFormat="1" ht="15" thickBot="1" x14ac:dyDescent="0.35">
      <c r="A18" s="149" t="s">
        <v>97</v>
      </c>
      <c r="B18" s="149"/>
      <c r="C18" s="149"/>
      <c r="D18" s="149"/>
      <c r="E18" s="150"/>
      <c r="F18" s="154"/>
      <c r="G18" s="154"/>
      <c r="H18" s="154"/>
      <c r="I18" s="154"/>
      <c r="J18" s="156">
        <f>J17/I17*100</f>
        <v>11.111111111111111</v>
      </c>
      <c r="K18" s="104" t="s">
        <v>212</v>
      </c>
    </row>
    <row r="19" spans="1:13" ht="19.5" customHeight="1" x14ac:dyDescent="0.3">
      <c r="A19" s="75" t="s">
        <v>95</v>
      </c>
      <c r="B19" s="75">
        <f>B17+1</f>
        <v>2565</v>
      </c>
      <c r="C19" s="75"/>
      <c r="D19" s="75"/>
      <c r="E19" s="81"/>
      <c r="F19" s="82"/>
      <c r="G19" s="82"/>
      <c r="H19" s="82"/>
      <c r="I19" s="82"/>
      <c r="J19" s="108">
        <v>24</v>
      </c>
      <c r="K19" t="s">
        <v>211</v>
      </c>
    </row>
    <row r="20" spans="1:13" s="104" customFormat="1" ht="15" thickBot="1" x14ac:dyDescent="0.35">
      <c r="A20" s="149" t="s">
        <v>97</v>
      </c>
      <c r="B20" s="149"/>
      <c r="C20" s="149">
        <f>SUM(C5,C7,C9,C11,C13,C15,C17,C19)</f>
        <v>80</v>
      </c>
      <c r="D20" s="149">
        <f t="shared" ref="D20:I20" si="3">SUM(D5,D7,D9,D11,D13,D15,D17,D19)</f>
        <v>80</v>
      </c>
      <c r="E20" s="149">
        <f t="shared" si="3"/>
        <v>90</v>
      </c>
      <c r="F20" s="149">
        <f t="shared" si="3"/>
        <v>77</v>
      </c>
      <c r="G20" s="149">
        <f t="shared" si="3"/>
        <v>88</v>
      </c>
      <c r="H20" s="149">
        <f t="shared" si="3"/>
        <v>100</v>
      </c>
      <c r="I20" s="149">
        <f t="shared" si="3"/>
        <v>86</v>
      </c>
      <c r="J20" s="201">
        <f>SUM(J5,J7,J9,J11,J13,J15,J17,J19)</f>
        <v>62</v>
      </c>
    </row>
    <row r="21" spans="1:13" s="104" customFormat="1" x14ac:dyDescent="0.3">
      <c r="A21" s="197"/>
      <c r="J21" s="207"/>
    </row>
    <row r="22" spans="1:13" x14ac:dyDescent="0.3">
      <c r="A22" s="78" t="s">
        <v>101</v>
      </c>
    </row>
    <row r="23" spans="1:13" x14ac:dyDescent="0.3">
      <c r="A23" s="84" t="s">
        <v>102</v>
      </c>
      <c r="B23" s="84"/>
      <c r="C23" s="84"/>
      <c r="D23" s="84"/>
      <c r="E23" s="84"/>
      <c r="F23" s="84"/>
      <c r="G23" s="140">
        <f>J18</f>
        <v>11.111111111111111</v>
      </c>
      <c r="H23" s="86" t="s">
        <v>98</v>
      </c>
      <c r="I23" s="140">
        <f>I16</f>
        <v>65.217391304347828</v>
      </c>
      <c r="J23" s="86" t="s">
        <v>98</v>
      </c>
      <c r="K23" s="140">
        <f>H14</f>
        <v>100</v>
      </c>
      <c r="L23" s="76" t="s">
        <v>96</v>
      </c>
      <c r="M23" s="185">
        <f>AVERAGE(J18,I16,H14)</f>
        <v>58.776167471819655</v>
      </c>
    </row>
    <row r="24" spans="1:13" x14ac:dyDescent="0.3">
      <c r="G24" s="364">
        <v>3</v>
      </c>
      <c r="H24" s="364"/>
      <c r="I24" s="364"/>
      <c r="J24" s="364"/>
      <c r="K24" s="364"/>
    </row>
    <row r="25" spans="1:13" x14ac:dyDescent="0.3">
      <c r="A25" s="74" t="s">
        <v>103</v>
      </c>
      <c r="B25" s="74"/>
      <c r="C25" s="74"/>
      <c r="D25" s="74"/>
      <c r="E25" s="74"/>
      <c r="F25" s="74"/>
      <c r="G25" s="140">
        <f>J16</f>
        <v>26.666666666666668</v>
      </c>
      <c r="H25" s="86" t="s">
        <v>98</v>
      </c>
      <c r="I25" s="140">
        <f>I14</f>
        <v>23.809523809523807</v>
      </c>
      <c r="J25" s="86" t="s">
        <v>98</v>
      </c>
      <c r="K25" s="140">
        <f>H12</f>
        <v>80</v>
      </c>
      <c r="L25" s="76" t="s">
        <v>96</v>
      </c>
      <c r="M25" s="158">
        <f>AVERAGE(J16,I14,H12)</f>
        <v>43.492063492063494</v>
      </c>
    </row>
    <row r="26" spans="1:13" x14ac:dyDescent="0.3">
      <c r="G26" s="364">
        <v>3</v>
      </c>
      <c r="H26" s="364"/>
      <c r="I26" s="364"/>
      <c r="J26" s="364"/>
      <c r="K26" s="364"/>
    </row>
    <row r="27" spans="1:13" x14ac:dyDescent="0.3">
      <c r="A27" s="87" t="s">
        <v>104</v>
      </c>
      <c r="B27" s="87"/>
      <c r="C27" s="87"/>
      <c r="D27" s="87"/>
      <c r="E27" s="87"/>
      <c r="F27" s="87"/>
      <c r="G27" s="140">
        <f>J14</f>
        <v>20</v>
      </c>
      <c r="H27" s="86" t="s">
        <v>98</v>
      </c>
      <c r="I27" s="140">
        <f>I12</f>
        <v>75</v>
      </c>
      <c r="J27" s="86" t="s">
        <v>98</v>
      </c>
      <c r="K27" s="140">
        <f>H10</f>
        <v>84.210526315789465</v>
      </c>
      <c r="L27" s="76" t="s">
        <v>96</v>
      </c>
      <c r="M27" s="159">
        <f>AVERAGE(J14,I12,H10)</f>
        <v>59.736842105263158</v>
      </c>
    </row>
    <row r="28" spans="1:13" x14ac:dyDescent="0.3">
      <c r="G28" s="364">
        <v>3</v>
      </c>
      <c r="H28" s="364"/>
      <c r="I28" s="364"/>
      <c r="J28" s="364"/>
      <c r="K28" s="364"/>
    </row>
    <row r="29" spans="1:13" x14ac:dyDescent="0.3">
      <c r="A29" s="136" t="s">
        <v>164</v>
      </c>
      <c r="B29" s="136"/>
      <c r="C29" s="136"/>
      <c r="D29" s="136"/>
      <c r="E29" s="136"/>
      <c r="F29" s="136"/>
      <c r="G29" s="141">
        <f>H8</f>
        <v>84.210526315789465</v>
      </c>
      <c r="H29" s="138" t="s">
        <v>98</v>
      </c>
      <c r="I29" s="141">
        <f>I10</f>
        <v>87.5</v>
      </c>
      <c r="J29" s="138" t="s">
        <v>98</v>
      </c>
      <c r="K29" s="141">
        <f>J12</f>
        <v>16.666666666666664</v>
      </c>
      <c r="L29" s="76" t="s">
        <v>96</v>
      </c>
      <c r="M29" s="186">
        <f>AVERAGE(J12,I10,H8)</f>
        <v>62.7923976608187</v>
      </c>
    </row>
    <row r="30" spans="1:13" x14ac:dyDescent="0.3">
      <c r="I30" s="77">
        <v>3</v>
      </c>
    </row>
    <row r="31" spans="1:13" x14ac:dyDescent="0.3">
      <c r="A31" s="137" t="s">
        <v>165</v>
      </c>
      <c r="B31" s="137"/>
      <c r="C31" s="137"/>
      <c r="D31" s="137"/>
      <c r="E31" s="137"/>
      <c r="F31" s="137"/>
      <c r="G31" s="142">
        <f>H6</f>
        <v>84.210526315789465</v>
      </c>
      <c r="H31" s="138" t="s">
        <v>98</v>
      </c>
      <c r="I31" s="142">
        <f>I8</f>
        <v>87.5</v>
      </c>
      <c r="J31" s="138" t="s">
        <v>98</v>
      </c>
      <c r="K31" s="142">
        <f>J10</f>
        <v>71.428571428571431</v>
      </c>
      <c r="L31" s="76" t="s">
        <v>96</v>
      </c>
      <c r="M31" s="187">
        <f>AVERAGE(J10,I8,H6)</f>
        <v>81.046365914786975</v>
      </c>
    </row>
    <row r="32" spans="1:13" x14ac:dyDescent="0.3">
      <c r="I32" s="139">
        <v>3</v>
      </c>
    </row>
  </sheetData>
  <mergeCells count="6">
    <mergeCell ref="G28:K28"/>
    <mergeCell ref="A2:J2"/>
    <mergeCell ref="A3:B3"/>
    <mergeCell ref="A4:B4"/>
    <mergeCell ref="G24:K24"/>
    <mergeCell ref="G26:K26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K16"/>
  <sheetViews>
    <sheetView workbookViewId="0">
      <selection activeCell="B6" sqref="B6"/>
    </sheetView>
  </sheetViews>
  <sheetFormatPr defaultRowHeight="14.4" x14ac:dyDescent="0.3"/>
  <cols>
    <col min="1" max="1" width="14.21875" customWidth="1"/>
    <col min="2" max="2" width="12.5546875" customWidth="1"/>
    <col min="5" max="5" width="8.77734375" customWidth="1"/>
  </cols>
  <sheetData>
    <row r="2" spans="1:11" ht="15" thickBot="1" x14ac:dyDescent="0.35">
      <c r="A2" s="365" t="s">
        <v>100</v>
      </c>
      <c r="B2" s="365"/>
      <c r="C2" s="365"/>
      <c r="D2" s="365"/>
      <c r="E2" s="365"/>
      <c r="F2" s="365"/>
      <c r="G2" s="370"/>
      <c r="H2" s="370"/>
    </row>
    <row r="3" spans="1:11" x14ac:dyDescent="0.3">
      <c r="A3" s="366" t="s">
        <v>93</v>
      </c>
      <c r="B3" s="367"/>
      <c r="C3" s="79"/>
      <c r="D3" s="79"/>
      <c r="E3" s="79"/>
      <c r="F3" s="120"/>
      <c r="G3" s="99"/>
      <c r="H3" s="99"/>
    </row>
    <row r="4" spans="1:11" ht="15" thickBot="1" x14ac:dyDescent="0.35">
      <c r="A4" s="368" t="s">
        <v>94</v>
      </c>
      <c r="B4" s="369"/>
      <c r="C4">
        <v>2562</v>
      </c>
      <c r="D4">
        <f>C4+1</f>
        <v>2563</v>
      </c>
      <c r="E4">
        <f>D4+1</f>
        <v>2564</v>
      </c>
      <c r="F4" s="121">
        <f t="shared" ref="F4" si="0">E4+1</f>
        <v>2565</v>
      </c>
      <c r="G4" s="99"/>
      <c r="H4" s="99"/>
    </row>
    <row r="5" spans="1:11" ht="23.55" customHeight="1" x14ac:dyDescent="0.3">
      <c r="A5" s="75" t="s">
        <v>95</v>
      </c>
      <c r="B5" s="75">
        <v>2562</v>
      </c>
      <c r="C5" s="106">
        <v>50</v>
      </c>
      <c r="D5" s="82">
        <v>30</v>
      </c>
      <c r="E5" s="82">
        <v>20</v>
      </c>
      <c r="F5" s="82">
        <v>10</v>
      </c>
      <c r="G5" t="s">
        <v>211</v>
      </c>
      <c r="H5" s="99"/>
    </row>
    <row r="6" spans="1:11" s="104" customFormat="1" ht="15" thickBot="1" x14ac:dyDescent="0.35">
      <c r="A6" s="149" t="s">
        <v>97</v>
      </c>
      <c r="B6" s="149"/>
      <c r="C6" s="150"/>
      <c r="D6" s="192">
        <f>D5/C5*100</f>
        <v>60</v>
      </c>
      <c r="E6" s="202">
        <f>E5/D5*100</f>
        <v>66.666666666666657</v>
      </c>
      <c r="F6" s="202">
        <f>F5/E5*100</f>
        <v>50</v>
      </c>
      <c r="G6" s="104" t="s">
        <v>212</v>
      </c>
      <c r="H6" s="203"/>
    </row>
    <row r="7" spans="1:11" ht="23.55" customHeight="1" x14ac:dyDescent="0.3">
      <c r="A7" s="75" t="s">
        <v>95</v>
      </c>
      <c r="B7" s="75">
        <f>B5+1</f>
        <v>2563</v>
      </c>
      <c r="C7" s="81"/>
      <c r="D7" s="107">
        <v>17</v>
      </c>
      <c r="E7" s="82">
        <v>10</v>
      </c>
      <c r="F7" s="119">
        <v>8</v>
      </c>
      <c r="G7" t="s">
        <v>211</v>
      </c>
      <c r="H7" s="99"/>
    </row>
    <row r="8" spans="1:11" s="104" customFormat="1" ht="15" thickBot="1" x14ac:dyDescent="0.35">
      <c r="A8" s="149" t="s">
        <v>97</v>
      </c>
      <c r="B8" s="149"/>
      <c r="C8" s="150"/>
      <c r="D8" s="154"/>
      <c r="E8" s="192">
        <f>E7/D7*100</f>
        <v>58.82352941176471</v>
      </c>
      <c r="F8" s="202">
        <f>F7/E7*100</f>
        <v>80</v>
      </c>
      <c r="G8" s="104" t="s">
        <v>212</v>
      </c>
      <c r="H8" s="203"/>
    </row>
    <row r="9" spans="1:11" ht="23.55" customHeight="1" x14ac:dyDescent="0.3">
      <c r="A9" s="75" t="s">
        <v>95</v>
      </c>
      <c r="B9" s="75">
        <f>B7+1</f>
        <v>2564</v>
      </c>
      <c r="C9" s="81"/>
      <c r="D9" s="82"/>
      <c r="E9" s="107">
        <v>21</v>
      </c>
      <c r="F9" s="82">
        <v>21</v>
      </c>
      <c r="G9" t="s">
        <v>211</v>
      </c>
      <c r="H9" s="99"/>
    </row>
    <row r="10" spans="1:11" s="104" customFormat="1" ht="15" thickBot="1" x14ac:dyDescent="0.35">
      <c r="A10" s="149" t="s">
        <v>97</v>
      </c>
      <c r="B10" s="149"/>
      <c r="C10" s="150"/>
      <c r="D10" s="154"/>
      <c r="E10" s="154"/>
      <c r="F10" s="192">
        <f>F9/E9*100</f>
        <v>100</v>
      </c>
      <c r="G10" s="104" t="s">
        <v>212</v>
      </c>
      <c r="H10" s="203"/>
    </row>
    <row r="11" spans="1:11" ht="23.55" customHeight="1" x14ac:dyDescent="0.3">
      <c r="A11" s="75" t="s">
        <v>95</v>
      </c>
      <c r="B11" s="75">
        <f>B9+1</f>
        <v>2565</v>
      </c>
      <c r="C11" s="81"/>
      <c r="D11" s="82"/>
      <c r="E11" s="82"/>
      <c r="F11" s="107">
        <v>23</v>
      </c>
      <c r="G11" t="s">
        <v>211</v>
      </c>
      <c r="H11" s="99"/>
    </row>
    <row r="12" spans="1:11" s="104" customFormat="1" ht="15" thickBot="1" x14ac:dyDescent="0.35">
      <c r="A12" s="149" t="s">
        <v>97</v>
      </c>
      <c r="B12" s="149"/>
      <c r="C12" s="150">
        <f>SUM(C5,C7,C9,C11)</f>
        <v>50</v>
      </c>
      <c r="D12" s="150">
        <f t="shared" ref="D12:E12" si="1">SUM(D5,D7,D9,D11)</f>
        <v>47</v>
      </c>
      <c r="E12" s="150">
        <f t="shared" si="1"/>
        <v>51</v>
      </c>
      <c r="F12" s="150">
        <f>SUM(F5,F7,F9,F11)</f>
        <v>62</v>
      </c>
      <c r="H12" s="203"/>
    </row>
    <row r="13" spans="1:11" s="104" customFormat="1" x14ac:dyDescent="0.3">
      <c r="A13" s="197"/>
      <c r="C13" s="205"/>
      <c r="D13" s="205"/>
      <c r="E13" s="205"/>
      <c r="F13" s="206"/>
      <c r="H13" s="203"/>
    </row>
    <row r="14" spans="1:11" x14ac:dyDescent="0.3">
      <c r="A14" s="78" t="s">
        <v>101</v>
      </c>
      <c r="F14" s="121"/>
    </row>
    <row r="15" spans="1:11" x14ac:dyDescent="0.3">
      <c r="A15" s="84" t="s">
        <v>102</v>
      </c>
      <c r="B15" s="84"/>
      <c r="C15" s="84"/>
      <c r="D15" s="84"/>
      <c r="E15" s="85">
        <f>F10</f>
        <v>100</v>
      </c>
      <c r="F15" s="86" t="s">
        <v>98</v>
      </c>
      <c r="G15" s="85">
        <f>E8</f>
        <v>58.82352941176471</v>
      </c>
      <c r="H15" s="86" t="s">
        <v>98</v>
      </c>
      <c r="I15" s="85">
        <f>D6</f>
        <v>60</v>
      </c>
      <c r="J15" s="76" t="s">
        <v>96</v>
      </c>
      <c r="K15" s="183">
        <f>AVERAGE(F10,E8,D6)</f>
        <v>72.941176470588232</v>
      </c>
    </row>
    <row r="16" spans="1:11" x14ac:dyDescent="0.3">
      <c r="E16" s="364">
        <v>3</v>
      </c>
      <c r="F16" s="364"/>
      <c r="G16" s="364"/>
      <c r="H16" s="364"/>
      <c r="I16" s="364"/>
    </row>
  </sheetData>
  <mergeCells count="4">
    <mergeCell ref="A2:H2"/>
    <mergeCell ref="A3:B3"/>
    <mergeCell ref="A4:B4"/>
    <mergeCell ref="E16:I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2:K21"/>
  <sheetViews>
    <sheetView workbookViewId="0">
      <selection activeCell="K13" sqref="K13"/>
    </sheetView>
  </sheetViews>
  <sheetFormatPr defaultRowHeight="14.4" x14ac:dyDescent="0.3"/>
  <cols>
    <col min="1" max="1" width="14.21875" customWidth="1"/>
    <col min="2" max="2" width="12.5546875" customWidth="1"/>
  </cols>
  <sheetData>
    <row r="2" spans="1:8" ht="15" thickBot="1" x14ac:dyDescent="0.35">
      <c r="A2" s="365" t="s">
        <v>100</v>
      </c>
      <c r="B2" s="365"/>
      <c r="C2" s="365"/>
      <c r="D2" s="365"/>
      <c r="E2" s="365"/>
      <c r="F2" s="365"/>
      <c r="G2" s="365"/>
      <c r="H2" s="370"/>
    </row>
    <row r="3" spans="1:8" x14ac:dyDescent="0.3">
      <c r="A3" s="366" t="s">
        <v>93</v>
      </c>
      <c r="B3" s="367"/>
      <c r="C3" s="79"/>
      <c r="D3" s="79"/>
      <c r="E3" s="79"/>
      <c r="F3" s="79"/>
      <c r="G3" s="120"/>
    </row>
    <row r="4" spans="1:8" ht="15" thickBot="1" x14ac:dyDescent="0.35">
      <c r="A4" s="368" t="s">
        <v>94</v>
      </c>
      <c r="B4" s="369"/>
      <c r="C4">
        <v>2561</v>
      </c>
      <c r="D4">
        <f>C4+1</f>
        <v>2562</v>
      </c>
      <c r="E4">
        <f t="shared" ref="E4:G4" si="0">D4+1</f>
        <v>2563</v>
      </c>
      <c r="F4">
        <f t="shared" si="0"/>
        <v>2564</v>
      </c>
      <c r="G4" s="121">
        <f t="shared" si="0"/>
        <v>2565</v>
      </c>
    </row>
    <row r="5" spans="1:8" ht="25.5" customHeight="1" x14ac:dyDescent="0.3">
      <c r="A5" s="75" t="s">
        <v>95</v>
      </c>
      <c r="B5" s="75">
        <v>2561</v>
      </c>
      <c r="C5" s="106">
        <v>10</v>
      </c>
      <c r="D5" s="82">
        <v>9</v>
      </c>
      <c r="E5" s="82">
        <v>8</v>
      </c>
      <c r="F5" s="82">
        <v>7</v>
      </c>
      <c r="G5" s="82">
        <v>6</v>
      </c>
      <c r="H5" t="s">
        <v>211</v>
      </c>
    </row>
    <row r="6" spans="1:8" s="104" customFormat="1" ht="15" thickBot="1" x14ac:dyDescent="0.35">
      <c r="A6" s="149" t="s">
        <v>97</v>
      </c>
      <c r="B6" s="149"/>
      <c r="C6" s="150"/>
      <c r="D6" s="202">
        <f>D5/C5*100</f>
        <v>90</v>
      </c>
      <c r="E6" s="193">
        <f>E5/D5*100</f>
        <v>88.888888888888886</v>
      </c>
      <c r="F6" s="202">
        <f>F5/E5*100</f>
        <v>87.5</v>
      </c>
      <c r="G6" s="204">
        <f>G5/F5*100</f>
        <v>85.714285714285708</v>
      </c>
      <c r="H6" s="104" t="s">
        <v>212</v>
      </c>
    </row>
    <row r="7" spans="1:8" ht="25.5" customHeight="1" x14ac:dyDescent="0.3">
      <c r="A7" s="75" t="s">
        <v>95</v>
      </c>
      <c r="B7" s="75">
        <f>B5+1</f>
        <v>2562</v>
      </c>
      <c r="C7" s="81"/>
      <c r="D7" s="107">
        <v>17</v>
      </c>
      <c r="E7" s="82">
        <v>10</v>
      </c>
      <c r="F7" s="82">
        <v>8</v>
      </c>
      <c r="G7" s="82">
        <v>6</v>
      </c>
      <c r="H7" t="s">
        <v>211</v>
      </c>
    </row>
    <row r="8" spans="1:8" s="104" customFormat="1" ht="15" thickBot="1" x14ac:dyDescent="0.35">
      <c r="A8" s="149" t="s">
        <v>97</v>
      </c>
      <c r="B8" s="149"/>
      <c r="C8" s="150"/>
      <c r="D8" s="154"/>
      <c r="E8" s="192">
        <f>E7/D7*100</f>
        <v>58.82352941176471</v>
      </c>
      <c r="F8" s="193">
        <f>F7/E7*100</f>
        <v>80</v>
      </c>
      <c r="G8" s="202">
        <f>G7/F7*100</f>
        <v>75</v>
      </c>
      <c r="H8" s="104" t="s">
        <v>212</v>
      </c>
    </row>
    <row r="9" spans="1:8" ht="25.5" customHeight="1" x14ac:dyDescent="0.3">
      <c r="A9" s="75" t="s">
        <v>95</v>
      </c>
      <c r="B9" s="75">
        <f>B7+1</f>
        <v>2563</v>
      </c>
      <c r="C9" s="81"/>
      <c r="D9" s="82"/>
      <c r="E9" s="107">
        <v>21</v>
      </c>
      <c r="F9" s="82">
        <v>21</v>
      </c>
      <c r="G9" s="82">
        <v>5</v>
      </c>
      <c r="H9" t="s">
        <v>211</v>
      </c>
    </row>
    <row r="10" spans="1:8" s="104" customFormat="1" ht="15" thickBot="1" x14ac:dyDescent="0.35">
      <c r="A10" s="149" t="s">
        <v>97</v>
      </c>
      <c r="B10" s="149"/>
      <c r="C10" s="150"/>
      <c r="D10" s="154"/>
      <c r="E10" s="154"/>
      <c r="F10" s="192">
        <f>F9/E9*100</f>
        <v>100</v>
      </c>
      <c r="G10" s="193">
        <f>G9/F9*100</f>
        <v>23.809523809523807</v>
      </c>
      <c r="H10" s="104" t="s">
        <v>212</v>
      </c>
    </row>
    <row r="11" spans="1:8" ht="25.5" customHeight="1" x14ac:dyDescent="0.3">
      <c r="A11" s="75" t="s">
        <v>95</v>
      </c>
      <c r="B11" s="75">
        <f>B9+1</f>
        <v>2564</v>
      </c>
      <c r="C11" s="81"/>
      <c r="D11" s="82"/>
      <c r="E11" s="82"/>
      <c r="F11" s="107">
        <v>23</v>
      </c>
      <c r="G11" s="82">
        <v>15</v>
      </c>
      <c r="H11" t="s">
        <v>211</v>
      </c>
    </row>
    <row r="12" spans="1:8" s="104" customFormat="1" ht="15" thickBot="1" x14ac:dyDescent="0.35">
      <c r="A12" s="149" t="s">
        <v>97</v>
      </c>
      <c r="B12" s="149"/>
      <c r="C12" s="150"/>
      <c r="D12" s="154"/>
      <c r="E12" s="154"/>
      <c r="F12" s="154"/>
      <c r="G12" s="192">
        <f>G11/F11*100</f>
        <v>65.217391304347828</v>
      </c>
      <c r="H12" s="104" t="s">
        <v>212</v>
      </c>
    </row>
    <row r="13" spans="1:8" ht="25.5" customHeight="1" x14ac:dyDescent="0.3">
      <c r="A13" s="75" t="s">
        <v>95</v>
      </c>
      <c r="B13" s="75">
        <f>B11+1</f>
        <v>2565</v>
      </c>
      <c r="C13" s="81"/>
      <c r="D13" s="82"/>
      <c r="E13" s="82"/>
      <c r="F13" s="82"/>
      <c r="G13" s="107">
        <v>18</v>
      </c>
      <c r="H13" t="s">
        <v>211</v>
      </c>
    </row>
    <row r="14" spans="1:8" s="104" customFormat="1" ht="15" thickBot="1" x14ac:dyDescent="0.35">
      <c r="A14" s="149" t="s">
        <v>97</v>
      </c>
      <c r="B14" s="149"/>
      <c r="C14" s="150">
        <f>SUM(C5,C7,C9,C11,C13)</f>
        <v>10</v>
      </c>
      <c r="D14" s="150">
        <f t="shared" ref="D14:F14" si="1">SUM(D5,D7,D9,D11,D13)</f>
        <v>26</v>
      </c>
      <c r="E14" s="150">
        <f t="shared" si="1"/>
        <v>39</v>
      </c>
      <c r="F14" s="150">
        <f t="shared" si="1"/>
        <v>59</v>
      </c>
      <c r="G14" s="150">
        <f>SUM(G5,G7,G9,G11,G13)</f>
        <v>50</v>
      </c>
    </row>
    <row r="15" spans="1:8" s="104" customFormat="1" x14ac:dyDescent="0.3">
      <c r="A15" s="197"/>
      <c r="C15" s="205"/>
      <c r="D15" s="205"/>
      <c r="E15" s="205"/>
      <c r="F15" s="205"/>
      <c r="G15" s="205"/>
    </row>
    <row r="16" spans="1:8" x14ac:dyDescent="0.3">
      <c r="A16" s="78" t="s">
        <v>101</v>
      </c>
    </row>
    <row r="17" spans="1:11" x14ac:dyDescent="0.3">
      <c r="A17" s="84" t="s">
        <v>102</v>
      </c>
      <c r="B17" s="84"/>
      <c r="C17" s="84"/>
      <c r="D17" s="84"/>
      <c r="E17" s="85">
        <f>G12</f>
        <v>65.217391304347828</v>
      </c>
      <c r="F17" s="86" t="s">
        <v>98</v>
      </c>
      <c r="G17" s="85">
        <f>F10</f>
        <v>100</v>
      </c>
      <c r="H17" s="86" t="s">
        <v>98</v>
      </c>
      <c r="I17" s="85">
        <f>E8</f>
        <v>58.82352941176471</v>
      </c>
      <c r="J17" s="76" t="s">
        <v>96</v>
      </c>
      <c r="K17" s="183">
        <f>AVERAGE(G12,F10,E8)</f>
        <v>74.680306905370841</v>
      </c>
    </row>
    <row r="18" spans="1:11" x14ac:dyDescent="0.3">
      <c r="E18" s="364">
        <v>3</v>
      </c>
      <c r="F18" s="364"/>
      <c r="G18" s="364"/>
      <c r="H18" s="364"/>
      <c r="I18" s="364"/>
    </row>
    <row r="19" spans="1:11" x14ac:dyDescent="0.3">
      <c r="A19" s="74" t="s">
        <v>103</v>
      </c>
      <c r="B19" s="74"/>
      <c r="C19" s="74"/>
      <c r="D19" s="74"/>
      <c r="E19" s="85">
        <f>G10</f>
        <v>23.809523809523807</v>
      </c>
      <c r="F19" s="86" t="s">
        <v>98</v>
      </c>
      <c r="G19" s="85">
        <f>F8</f>
        <v>80</v>
      </c>
      <c r="H19" s="86" t="s">
        <v>98</v>
      </c>
      <c r="I19" s="85">
        <f>E6</f>
        <v>88.888888888888886</v>
      </c>
      <c r="J19" s="76" t="s">
        <v>96</v>
      </c>
      <c r="K19" s="184">
        <f>AVERAGE(G10,F8,E6)</f>
        <v>64.232804232804241</v>
      </c>
    </row>
    <row r="20" spans="1:11" x14ac:dyDescent="0.3">
      <c r="E20" s="364">
        <v>3</v>
      </c>
      <c r="F20" s="364"/>
      <c r="G20" s="364"/>
      <c r="H20" s="364"/>
      <c r="I20" s="364"/>
    </row>
    <row r="21" spans="1:11" x14ac:dyDescent="0.3">
      <c r="E21" s="370"/>
      <c r="F21" s="370"/>
      <c r="G21" s="370"/>
      <c r="H21" s="370"/>
      <c r="I21" s="370"/>
    </row>
  </sheetData>
  <mergeCells count="6">
    <mergeCell ref="E21:I21"/>
    <mergeCell ref="A2:H2"/>
    <mergeCell ref="A3:B3"/>
    <mergeCell ref="A4:B4"/>
    <mergeCell ref="E18:I18"/>
    <mergeCell ref="E20:I2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3"/>
  <sheetViews>
    <sheetView zoomScaleNormal="100" workbookViewId="0">
      <selection activeCell="A12" sqref="A12:C13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73" t="s">
        <v>114</v>
      </c>
      <c r="B1" s="376" t="s">
        <v>106</v>
      </c>
      <c r="C1" s="379" t="s">
        <v>107</v>
      </c>
      <c r="D1" s="380"/>
      <c r="E1" s="381"/>
      <c r="F1" s="88" t="s">
        <v>108</v>
      </c>
      <c r="G1" s="88" t="s">
        <v>221</v>
      </c>
      <c r="H1" s="376" t="s">
        <v>222</v>
      </c>
      <c r="I1" s="89" t="s">
        <v>109</v>
      </c>
      <c r="J1" s="371" t="s">
        <v>225</v>
      </c>
      <c r="K1" s="372"/>
      <c r="L1" s="372"/>
      <c r="M1" s="372"/>
    </row>
    <row r="2" spans="1:13" ht="24.6" x14ac:dyDescent="0.3">
      <c r="A2" s="374"/>
      <c r="B2" s="377"/>
      <c r="C2" s="382">
        <v>2563</v>
      </c>
      <c r="D2" s="382">
        <v>2564</v>
      </c>
      <c r="E2" s="382">
        <v>2565</v>
      </c>
      <c r="F2" s="90" t="s">
        <v>110</v>
      </c>
      <c r="G2" s="91" t="s">
        <v>111</v>
      </c>
      <c r="H2" s="377"/>
      <c r="I2" s="92"/>
      <c r="J2" s="371"/>
      <c r="K2" s="372"/>
      <c r="L2" s="372"/>
      <c r="M2" s="372"/>
    </row>
    <row r="3" spans="1:13" ht="30" customHeight="1" thickBot="1" x14ac:dyDescent="0.35">
      <c r="A3" s="375"/>
      <c r="B3" s="378"/>
      <c r="C3" s="383"/>
      <c r="D3" s="383"/>
      <c r="E3" s="383"/>
      <c r="F3" s="93"/>
      <c r="G3" s="94"/>
      <c r="H3" s="378"/>
      <c r="I3" s="95" t="s">
        <v>79</v>
      </c>
      <c r="J3" s="371"/>
      <c r="K3" s="372"/>
      <c r="L3" s="372"/>
      <c r="M3" s="372"/>
    </row>
    <row r="4" spans="1:13" s="99" customFormat="1" ht="25.2" thickBot="1" x14ac:dyDescent="0.35">
      <c r="A4" s="282">
        <v>2560</v>
      </c>
      <c r="B4" s="277">
        <v>88</v>
      </c>
      <c r="C4" s="97">
        <v>48</v>
      </c>
      <c r="D4" s="278">
        <v>14</v>
      </c>
      <c r="E4" s="278">
        <v>1</v>
      </c>
      <c r="F4" s="160">
        <f>C4/B4*100</f>
        <v>54.54545454545454</v>
      </c>
      <c r="G4" s="161">
        <f>B4-C4-D4-E4-H4</f>
        <v>1</v>
      </c>
      <c r="H4" s="278">
        <v>24</v>
      </c>
      <c r="I4" s="168">
        <f>(B4-H4)/B4*100</f>
        <v>72.727272727272734</v>
      </c>
      <c r="J4" s="371"/>
      <c r="K4" s="372"/>
      <c r="L4" s="372"/>
      <c r="M4" s="372"/>
    </row>
    <row r="5" spans="1:13" s="99" customFormat="1" ht="25.2" thickBot="1" x14ac:dyDescent="0.35">
      <c r="A5" s="283">
        <v>2561</v>
      </c>
      <c r="B5" s="279">
        <v>88</v>
      </c>
      <c r="C5" s="101">
        <v>0</v>
      </c>
      <c r="D5" s="101">
        <v>57</v>
      </c>
      <c r="E5" s="280">
        <v>8</v>
      </c>
      <c r="F5" s="162">
        <f>(SUM(C5:D5))/B5*100</f>
        <v>64.772727272727266</v>
      </c>
      <c r="G5" s="161">
        <f t="shared" ref="G5:G9" si="0">B5-C5-D5-E5-H5</f>
        <v>0</v>
      </c>
      <c r="H5" s="280">
        <v>23</v>
      </c>
      <c r="I5" s="169">
        <f t="shared" ref="I5" si="1">(B5-H5)/B5*100</f>
        <v>73.86363636363636</v>
      </c>
      <c r="J5" s="371"/>
      <c r="K5" s="372"/>
      <c r="L5" s="372"/>
      <c r="M5" s="372"/>
    </row>
    <row r="6" spans="1:13" ht="25.2" thickBot="1" x14ac:dyDescent="0.35">
      <c r="A6" s="284">
        <v>2562</v>
      </c>
      <c r="B6" s="279">
        <v>84</v>
      </c>
      <c r="C6" s="101">
        <v>0</v>
      </c>
      <c r="D6" s="101">
        <v>0</v>
      </c>
      <c r="E6" s="101">
        <v>66</v>
      </c>
      <c r="F6" s="162">
        <f>(SUM(C6:E6))/B6*100</f>
        <v>78.571428571428569</v>
      </c>
      <c r="G6" s="161">
        <f t="shared" si="0"/>
        <v>1</v>
      </c>
      <c r="H6" s="280">
        <v>17</v>
      </c>
      <c r="I6" s="169">
        <f>(B6-H6)/B6*100</f>
        <v>79.761904761904773</v>
      </c>
      <c r="J6" s="371"/>
      <c r="K6" s="372"/>
      <c r="L6" s="372"/>
      <c r="M6" s="372"/>
    </row>
    <row r="7" spans="1:13" ht="25.2" thickBot="1" x14ac:dyDescent="0.35">
      <c r="A7" s="282">
        <v>2563</v>
      </c>
      <c r="B7" s="279">
        <v>105</v>
      </c>
      <c r="C7" s="280">
        <v>0</v>
      </c>
      <c r="D7" s="280">
        <v>0</v>
      </c>
      <c r="E7" s="280">
        <v>0</v>
      </c>
      <c r="F7" s="163">
        <f t="shared" ref="F7:F9" si="2">(SUM(C7:E7))/B7*100</f>
        <v>0</v>
      </c>
      <c r="G7" s="161">
        <f t="shared" si="0"/>
        <v>68</v>
      </c>
      <c r="H7" s="280">
        <v>37</v>
      </c>
      <c r="I7" s="170">
        <f t="shared" ref="I7:I9" si="3">(B7-H7)/B7*100</f>
        <v>64.761904761904759</v>
      </c>
    </row>
    <row r="8" spans="1:13" ht="25.2" thickBot="1" x14ac:dyDescent="0.35">
      <c r="A8" s="283">
        <v>2564</v>
      </c>
      <c r="B8" s="279">
        <v>103</v>
      </c>
      <c r="C8" s="280">
        <v>0</v>
      </c>
      <c r="D8" s="280">
        <v>0</v>
      </c>
      <c r="E8" s="280">
        <v>0</v>
      </c>
      <c r="F8" s="163">
        <f t="shared" si="2"/>
        <v>0</v>
      </c>
      <c r="G8" s="161">
        <f t="shared" si="0"/>
        <v>77</v>
      </c>
      <c r="H8" s="280">
        <v>26</v>
      </c>
      <c r="I8" s="170">
        <f t="shared" si="3"/>
        <v>74.757281553398059</v>
      </c>
    </row>
    <row r="9" spans="1:13" ht="25.2" thickBot="1" x14ac:dyDescent="0.35">
      <c r="A9" s="284">
        <v>2565</v>
      </c>
      <c r="B9" s="279">
        <v>93</v>
      </c>
      <c r="C9" s="281">
        <v>0</v>
      </c>
      <c r="D9" s="281">
        <v>0</v>
      </c>
      <c r="E9" s="281">
        <v>0</v>
      </c>
      <c r="F9" s="164">
        <f t="shared" si="2"/>
        <v>0</v>
      </c>
      <c r="G9" s="161">
        <f t="shared" si="0"/>
        <v>93</v>
      </c>
      <c r="H9" s="281">
        <v>0</v>
      </c>
      <c r="I9" s="171">
        <f t="shared" si="3"/>
        <v>100</v>
      </c>
    </row>
    <row r="10" spans="1:13" ht="24" thickBot="1" x14ac:dyDescent="0.35">
      <c r="A10" s="175" t="s">
        <v>62</v>
      </c>
      <c r="B10" s="166">
        <f>SUM(B4:B9)</f>
        <v>561</v>
      </c>
      <c r="C10" s="166">
        <f t="shared" ref="C10:E10" si="4">SUM(C4:C9)</f>
        <v>48</v>
      </c>
      <c r="D10" s="166">
        <f t="shared" si="4"/>
        <v>71</v>
      </c>
      <c r="E10" s="166">
        <f t="shared" si="4"/>
        <v>75</v>
      </c>
      <c r="F10" s="165"/>
      <c r="G10" s="166">
        <f t="shared" ref="G10:H10" si="5">SUM(G4:G9)</f>
        <v>240</v>
      </c>
      <c r="H10" s="166">
        <f t="shared" si="5"/>
        <v>127</v>
      </c>
      <c r="I10" s="167">
        <f>(B10-H10)/B10*100</f>
        <v>77.361853832442065</v>
      </c>
    </row>
    <row r="11" spans="1:13" x14ac:dyDescent="0.3">
      <c r="A11" t="s">
        <v>112</v>
      </c>
      <c r="G11" s="103">
        <f>B9</f>
        <v>93</v>
      </c>
      <c r="H11" t="s">
        <v>99</v>
      </c>
    </row>
    <row r="12" spans="1:13" x14ac:dyDescent="0.3">
      <c r="A12" s="172" t="s">
        <v>223</v>
      </c>
    </row>
    <row r="13" spans="1:13" x14ac:dyDescent="0.3">
      <c r="A13" s="173" t="s">
        <v>224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4"/>
  <sheetViews>
    <sheetView zoomScaleNormal="100" workbookViewId="0">
      <selection activeCell="A13" sqref="A13:C14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73" t="s">
        <v>114</v>
      </c>
      <c r="B1" s="376" t="s">
        <v>106</v>
      </c>
      <c r="C1" s="379" t="s">
        <v>107</v>
      </c>
      <c r="D1" s="380"/>
      <c r="E1" s="381"/>
      <c r="F1" s="88" t="s">
        <v>108</v>
      </c>
      <c r="G1" s="88" t="s">
        <v>221</v>
      </c>
      <c r="H1" s="376" t="s">
        <v>222</v>
      </c>
      <c r="I1" s="89" t="s">
        <v>109</v>
      </c>
      <c r="J1" s="371" t="s">
        <v>225</v>
      </c>
      <c r="K1" s="372"/>
      <c r="L1" s="372"/>
      <c r="M1" s="372"/>
    </row>
    <row r="2" spans="1:13" ht="24.6" x14ac:dyDescent="0.3">
      <c r="A2" s="374"/>
      <c r="B2" s="377"/>
      <c r="C2" s="382">
        <v>2563</v>
      </c>
      <c r="D2" s="382">
        <v>2564</v>
      </c>
      <c r="E2" s="382">
        <v>2565</v>
      </c>
      <c r="F2" s="90" t="s">
        <v>110</v>
      </c>
      <c r="G2" s="91" t="s">
        <v>111</v>
      </c>
      <c r="H2" s="377"/>
      <c r="I2" s="92"/>
      <c r="J2" s="371"/>
      <c r="K2" s="372"/>
      <c r="L2" s="372"/>
      <c r="M2" s="372"/>
    </row>
    <row r="3" spans="1:13" ht="30" customHeight="1" thickBot="1" x14ac:dyDescent="0.35">
      <c r="A3" s="375"/>
      <c r="B3" s="378"/>
      <c r="C3" s="383"/>
      <c r="D3" s="383"/>
      <c r="E3" s="383"/>
      <c r="F3" s="93"/>
      <c r="G3" s="94"/>
      <c r="H3" s="378"/>
      <c r="I3" s="95" t="s">
        <v>79</v>
      </c>
      <c r="J3" s="371"/>
      <c r="K3" s="372"/>
      <c r="L3" s="372"/>
      <c r="M3" s="372"/>
    </row>
    <row r="4" spans="1:13" s="99" customFormat="1" ht="25.2" thickBot="1" x14ac:dyDescent="0.35">
      <c r="A4" s="282">
        <v>2559</v>
      </c>
      <c r="B4" s="278">
        <v>98</v>
      </c>
      <c r="C4" s="97">
        <v>54</v>
      </c>
      <c r="D4" s="278">
        <v>6</v>
      </c>
      <c r="E4" s="278">
        <v>2</v>
      </c>
      <c r="F4" s="160">
        <f>C4/B4*100</f>
        <v>55.102040816326522</v>
      </c>
      <c r="G4" s="161">
        <f>B4-C4-D4-E4-H4</f>
        <v>3</v>
      </c>
      <c r="H4" s="278">
        <v>33</v>
      </c>
      <c r="I4" s="168">
        <f t="shared" ref="I4:I5" si="0">(B4-H4)/B4*100</f>
        <v>66.326530612244895</v>
      </c>
      <c r="J4" s="371"/>
      <c r="K4" s="372"/>
      <c r="L4" s="372"/>
      <c r="M4" s="372"/>
    </row>
    <row r="5" spans="1:13" s="99" customFormat="1" ht="25.2" thickBot="1" x14ac:dyDescent="0.35">
      <c r="A5" s="283">
        <v>2560</v>
      </c>
      <c r="B5" s="280">
        <v>100</v>
      </c>
      <c r="C5" s="101">
        <v>5</v>
      </c>
      <c r="D5" s="101">
        <v>55</v>
      </c>
      <c r="E5" s="280">
        <v>7</v>
      </c>
      <c r="F5" s="162">
        <f>(SUM(C5:D5))/B5*100</f>
        <v>60</v>
      </c>
      <c r="G5" s="161">
        <f t="shared" ref="G5:G10" si="1">B5-C5-D5-E5-H5</f>
        <v>7</v>
      </c>
      <c r="H5" s="280">
        <v>26</v>
      </c>
      <c r="I5" s="169">
        <f t="shared" si="0"/>
        <v>74</v>
      </c>
      <c r="J5" s="371"/>
      <c r="K5" s="372"/>
      <c r="L5" s="372"/>
      <c r="M5" s="372"/>
    </row>
    <row r="6" spans="1:13" ht="25.2" thickBot="1" x14ac:dyDescent="0.35">
      <c r="A6" s="284">
        <v>2561</v>
      </c>
      <c r="B6" s="280">
        <v>102</v>
      </c>
      <c r="C6" s="101">
        <v>1</v>
      </c>
      <c r="D6" s="101">
        <v>5</v>
      </c>
      <c r="E6" s="101">
        <v>65</v>
      </c>
      <c r="F6" s="162">
        <f>(SUM(C6:E6))/B6*100</f>
        <v>69.607843137254903</v>
      </c>
      <c r="G6" s="161">
        <f t="shared" si="1"/>
        <v>9</v>
      </c>
      <c r="H6" s="280">
        <v>22</v>
      </c>
      <c r="I6" s="169">
        <f>(B6-H6)/B6*100</f>
        <v>78.431372549019613</v>
      </c>
      <c r="J6" s="371"/>
      <c r="K6" s="372"/>
      <c r="L6" s="372"/>
      <c r="M6" s="372"/>
    </row>
    <row r="7" spans="1:13" ht="25.2" thickBot="1" x14ac:dyDescent="0.35">
      <c r="A7" s="282">
        <v>2562</v>
      </c>
      <c r="B7" s="280">
        <v>99</v>
      </c>
      <c r="C7" s="280">
        <v>0</v>
      </c>
      <c r="D7" s="280">
        <v>1</v>
      </c>
      <c r="E7" s="280">
        <v>3</v>
      </c>
      <c r="F7" s="163">
        <f t="shared" ref="F7:F10" si="2">(SUM(C7:E7))/B7*100</f>
        <v>4.0404040404040407</v>
      </c>
      <c r="G7" s="161">
        <f t="shared" si="1"/>
        <v>77</v>
      </c>
      <c r="H7" s="280">
        <v>18</v>
      </c>
      <c r="I7" s="170">
        <f t="shared" ref="I7:I10" si="3">(B7-H7)/B7*100</f>
        <v>81.818181818181827</v>
      </c>
    </row>
    <row r="8" spans="1:13" ht="25.2" thickBot="1" x14ac:dyDescent="0.35">
      <c r="A8" s="283">
        <v>2563</v>
      </c>
      <c r="B8" s="280">
        <v>97</v>
      </c>
      <c r="C8" s="280">
        <v>0</v>
      </c>
      <c r="D8" s="280">
        <v>0</v>
      </c>
      <c r="E8" s="280">
        <v>2</v>
      </c>
      <c r="F8" s="163">
        <f t="shared" si="2"/>
        <v>2.0618556701030926</v>
      </c>
      <c r="G8" s="161">
        <f t="shared" si="1"/>
        <v>86</v>
      </c>
      <c r="H8" s="280">
        <v>9</v>
      </c>
      <c r="I8" s="170">
        <f t="shared" si="3"/>
        <v>90.721649484536087</v>
      </c>
    </row>
    <row r="9" spans="1:13" ht="25.2" thickBot="1" x14ac:dyDescent="0.35">
      <c r="A9" s="284">
        <v>2564</v>
      </c>
      <c r="B9" s="281">
        <v>95</v>
      </c>
      <c r="C9" s="281">
        <v>0</v>
      </c>
      <c r="D9" s="281">
        <v>0</v>
      </c>
      <c r="E9" s="281">
        <v>0</v>
      </c>
      <c r="F9" s="163">
        <f t="shared" si="2"/>
        <v>0</v>
      </c>
      <c r="G9" s="161">
        <f t="shared" si="1"/>
        <v>92</v>
      </c>
      <c r="H9" s="281">
        <v>3</v>
      </c>
      <c r="I9" s="170">
        <f t="shared" si="3"/>
        <v>96.84210526315789</v>
      </c>
    </row>
    <row r="10" spans="1:13" ht="25.2" thickBot="1" x14ac:dyDescent="0.35">
      <c r="A10" s="282">
        <v>2565</v>
      </c>
      <c r="B10" s="281">
        <v>98</v>
      </c>
      <c r="C10" s="281">
        <v>0</v>
      </c>
      <c r="D10" s="281">
        <v>0</v>
      </c>
      <c r="E10" s="281">
        <v>0</v>
      </c>
      <c r="F10" s="164">
        <f t="shared" si="2"/>
        <v>0</v>
      </c>
      <c r="G10" s="161">
        <f t="shared" si="1"/>
        <v>96</v>
      </c>
      <c r="H10" s="281">
        <v>2</v>
      </c>
      <c r="I10" s="171">
        <f t="shared" si="3"/>
        <v>97.959183673469383</v>
      </c>
    </row>
    <row r="11" spans="1:13" ht="24" thickBot="1" x14ac:dyDescent="0.35">
      <c r="A11" s="175" t="s">
        <v>62</v>
      </c>
      <c r="B11" s="166">
        <f>SUM(B4:B10)</f>
        <v>689</v>
      </c>
      <c r="C11" s="166">
        <f t="shared" ref="C11:E11" si="4">SUM(C4:C10)</f>
        <v>60</v>
      </c>
      <c r="D11" s="166">
        <f t="shared" si="4"/>
        <v>67</v>
      </c>
      <c r="E11" s="166">
        <f t="shared" si="4"/>
        <v>79</v>
      </c>
      <c r="F11" s="165"/>
      <c r="G11" s="166">
        <f t="shared" ref="G11:H11" si="5">SUM(G4:G10)</f>
        <v>370</v>
      </c>
      <c r="H11" s="166">
        <f t="shared" si="5"/>
        <v>113</v>
      </c>
      <c r="I11" s="167">
        <f>(B11-H11)/B11*100</f>
        <v>83.599419448476056</v>
      </c>
    </row>
    <row r="12" spans="1:13" x14ac:dyDescent="0.3">
      <c r="A12" t="s">
        <v>112</v>
      </c>
      <c r="G12" s="103">
        <f>B10</f>
        <v>98</v>
      </c>
      <c r="H12" t="s">
        <v>99</v>
      </c>
    </row>
    <row r="13" spans="1:13" x14ac:dyDescent="0.3">
      <c r="A13" s="172" t="s">
        <v>223</v>
      </c>
    </row>
    <row r="14" spans="1:13" x14ac:dyDescent="0.3">
      <c r="A14" s="173" t="s">
        <v>224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D1D1"/>
  </sheetPr>
  <dimension ref="A1:M15"/>
  <sheetViews>
    <sheetView topLeftCell="A4" zoomScaleNormal="100" workbookViewId="0">
      <selection activeCell="A14" sqref="A14:C15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73" t="s">
        <v>114</v>
      </c>
      <c r="B1" s="376" t="s">
        <v>106</v>
      </c>
      <c r="C1" s="379" t="s">
        <v>107</v>
      </c>
      <c r="D1" s="380"/>
      <c r="E1" s="381"/>
      <c r="F1" s="88" t="s">
        <v>108</v>
      </c>
      <c r="G1" s="88" t="s">
        <v>221</v>
      </c>
      <c r="H1" s="376" t="s">
        <v>222</v>
      </c>
      <c r="I1" s="89" t="s">
        <v>109</v>
      </c>
      <c r="J1" s="371" t="s">
        <v>116</v>
      </c>
      <c r="K1" s="372"/>
      <c r="L1" s="372"/>
      <c r="M1" s="372"/>
    </row>
    <row r="2" spans="1:13" ht="24.6" x14ac:dyDescent="0.3">
      <c r="A2" s="374"/>
      <c r="B2" s="377"/>
      <c r="C2" s="382">
        <v>2563</v>
      </c>
      <c r="D2" s="382">
        <v>2564</v>
      </c>
      <c r="E2" s="382">
        <v>2565</v>
      </c>
      <c r="F2" s="90" t="s">
        <v>110</v>
      </c>
      <c r="G2" s="91" t="s">
        <v>111</v>
      </c>
      <c r="H2" s="377"/>
      <c r="I2" s="92"/>
      <c r="J2" s="371"/>
      <c r="K2" s="372"/>
      <c r="L2" s="372"/>
      <c r="M2" s="372"/>
    </row>
    <row r="3" spans="1:13" ht="30" customHeight="1" thickBot="1" x14ac:dyDescent="0.35">
      <c r="A3" s="375"/>
      <c r="B3" s="378"/>
      <c r="C3" s="383"/>
      <c r="D3" s="383"/>
      <c r="E3" s="383"/>
      <c r="F3" s="93"/>
      <c r="G3" s="94"/>
      <c r="H3" s="378"/>
      <c r="I3" s="95" t="s">
        <v>79</v>
      </c>
      <c r="J3" s="371"/>
      <c r="K3" s="372"/>
      <c r="L3" s="372"/>
      <c r="M3" s="372"/>
    </row>
    <row r="4" spans="1:13" s="99" customFormat="1" ht="25.2" thickBot="1" x14ac:dyDescent="0.35">
      <c r="A4" s="282">
        <v>2558</v>
      </c>
      <c r="B4" s="278">
        <v>98</v>
      </c>
      <c r="C4" s="97">
        <v>54</v>
      </c>
      <c r="D4" s="278">
        <v>6</v>
      </c>
      <c r="E4" s="278">
        <v>2</v>
      </c>
      <c r="F4" s="160">
        <f>C4/B4*100</f>
        <v>55.102040816326522</v>
      </c>
      <c r="G4" s="161">
        <f>B4-C4-D4-E4-H4</f>
        <v>3</v>
      </c>
      <c r="H4" s="278">
        <v>33</v>
      </c>
      <c r="I4" s="168">
        <f t="shared" ref="I4:I5" si="0">(B4-H4)/B4*100</f>
        <v>66.326530612244895</v>
      </c>
      <c r="J4" s="371"/>
      <c r="K4" s="372"/>
      <c r="L4" s="372"/>
      <c r="M4" s="372"/>
    </row>
    <row r="5" spans="1:13" s="99" customFormat="1" ht="25.2" thickBot="1" x14ac:dyDescent="0.35">
      <c r="A5" s="283">
        <v>2559</v>
      </c>
      <c r="B5" s="280">
        <v>100</v>
      </c>
      <c r="C5" s="101">
        <v>5</v>
      </c>
      <c r="D5" s="101">
        <v>55</v>
      </c>
      <c r="E5" s="280">
        <v>7</v>
      </c>
      <c r="F5" s="162">
        <f>(SUM(C5:D5))/B5*100</f>
        <v>60</v>
      </c>
      <c r="G5" s="161">
        <f t="shared" ref="G5:G11" si="1">B5-C5-D5-E5-H5</f>
        <v>7</v>
      </c>
      <c r="H5" s="280">
        <v>26</v>
      </c>
      <c r="I5" s="169">
        <f t="shared" si="0"/>
        <v>74</v>
      </c>
      <c r="J5" s="371"/>
      <c r="K5" s="372"/>
      <c r="L5" s="372"/>
      <c r="M5" s="372"/>
    </row>
    <row r="6" spans="1:13" ht="25.2" thickBot="1" x14ac:dyDescent="0.35">
      <c r="A6" s="284">
        <v>2560</v>
      </c>
      <c r="B6" s="280">
        <v>102</v>
      </c>
      <c r="C6" s="101">
        <v>1</v>
      </c>
      <c r="D6" s="101">
        <v>5</v>
      </c>
      <c r="E6" s="101">
        <v>65</v>
      </c>
      <c r="F6" s="162">
        <f>(SUM(C6:E6))/B6*100</f>
        <v>69.607843137254903</v>
      </c>
      <c r="G6" s="161">
        <f>B6-C6-D6-E6-H6</f>
        <v>9</v>
      </c>
      <c r="H6" s="280">
        <v>22</v>
      </c>
      <c r="I6" s="169">
        <f>(B6-H6)/B6*100</f>
        <v>78.431372549019613</v>
      </c>
      <c r="J6" s="371"/>
      <c r="K6" s="372"/>
      <c r="L6" s="372"/>
      <c r="M6" s="372"/>
    </row>
    <row r="7" spans="1:13" ht="25.2" thickBot="1" x14ac:dyDescent="0.35">
      <c r="A7" s="282">
        <v>2561</v>
      </c>
      <c r="B7" s="280">
        <v>99</v>
      </c>
      <c r="C7" s="280">
        <v>0</v>
      </c>
      <c r="D7" s="280">
        <v>1</v>
      </c>
      <c r="E7" s="280">
        <v>3</v>
      </c>
      <c r="F7" s="163">
        <f t="shared" ref="F7:F11" si="2">(SUM(C7:E7))/B7*100</f>
        <v>4.0404040404040407</v>
      </c>
      <c r="G7" s="161">
        <f t="shared" si="1"/>
        <v>77</v>
      </c>
      <c r="H7" s="280">
        <v>18</v>
      </c>
      <c r="I7" s="170">
        <f t="shared" ref="I7:I11" si="3">(B7-H7)/B7*100</f>
        <v>81.818181818181827</v>
      </c>
    </row>
    <row r="8" spans="1:13" ht="25.2" thickBot="1" x14ac:dyDescent="0.35">
      <c r="A8" s="283">
        <v>2562</v>
      </c>
      <c r="B8" s="280">
        <v>97</v>
      </c>
      <c r="C8" s="280">
        <v>0</v>
      </c>
      <c r="D8" s="280">
        <v>0</v>
      </c>
      <c r="E8" s="280">
        <v>2</v>
      </c>
      <c r="F8" s="163">
        <f t="shared" si="2"/>
        <v>2.0618556701030926</v>
      </c>
      <c r="G8" s="161">
        <f t="shared" si="1"/>
        <v>86</v>
      </c>
      <c r="H8" s="280">
        <v>9</v>
      </c>
      <c r="I8" s="170">
        <f t="shared" si="3"/>
        <v>90.721649484536087</v>
      </c>
    </row>
    <row r="9" spans="1:13" ht="25.2" thickBot="1" x14ac:dyDescent="0.35">
      <c r="A9" s="284">
        <v>2563</v>
      </c>
      <c r="B9" s="281">
        <v>95</v>
      </c>
      <c r="C9" s="281">
        <v>0</v>
      </c>
      <c r="D9" s="281">
        <v>0</v>
      </c>
      <c r="E9" s="281">
        <v>0</v>
      </c>
      <c r="F9" s="163">
        <f t="shared" si="2"/>
        <v>0</v>
      </c>
      <c r="G9" s="161">
        <f t="shared" si="1"/>
        <v>92</v>
      </c>
      <c r="H9" s="281">
        <v>3</v>
      </c>
      <c r="I9" s="170">
        <f t="shared" si="3"/>
        <v>96.84210526315789</v>
      </c>
    </row>
    <row r="10" spans="1:13" ht="25.2" thickBot="1" x14ac:dyDescent="0.35">
      <c r="A10" s="282">
        <v>2564</v>
      </c>
      <c r="B10" s="281">
        <v>97</v>
      </c>
      <c r="C10" s="281">
        <v>0</v>
      </c>
      <c r="D10" s="281">
        <v>0</v>
      </c>
      <c r="E10" s="281">
        <v>0</v>
      </c>
      <c r="F10" s="164">
        <f t="shared" si="2"/>
        <v>0</v>
      </c>
      <c r="G10" s="161">
        <f t="shared" si="1"/>
        <v>94</v>
      </c>
      <c r="H10" s="281">
        <v>3</v>
      </c>
      <c r="I10" s="171">
        <f t="shared" si="3"/>
        <v>96.907216494845358</v>
      </c>
    </row>
    <row r="11" spans="1:13" ht="25.2" thickBot="1" x14ac:dyDescent="0.35">
      <c r="A11" s="283">
        <v>2565</v>
      </c>
      <c r="B11" s="281">
        <v>98</v>
      </c>
      <c r="C11" s="281">
        <v>0</v>
      </c>
      <c r="D11" s="281">
        <v>0</v>
      </c>
      <c r="E11" s="281">
        <v>0</v>
      </c>
      <c r="F11" s="164">
        <f t="shared" si="2"/>
        <v>0</v>
      </c>
      <c r="G11" s="161">
        <f t="shared" si="1"/>
        <v>96</v>
      </c>
      <c r="H11" s="281">
        <v>2</v>
      </c>
      <c r="I11" s="171">
        <f t="shared" si="3"/>
        <v>97.959183673469383</v>
      </c>
    </row>
    <row r="12" spans="1:13" ht="24" thickBot="1" x14ac:dyDescent="0.35">
      <c r="A12" s="175" t="s">
        <v>62</v>
      </c>
      <c r="B12" s="166">
        <f>SUM(B4:B11)</f>
        <v>786</v>
      </c>
      <c r="C12" s="166">
        <f t="shared" ref="C12:E12" si="4">SUM(C4:C11)</f>
        <v>60</v>
      </c>
      <c r="D12" s="166">
        <f t="shared" si="4"/>
        <v>67</v>
      </c>
      <c r="E12" s="166">
        <f t="shared" si="4"/>
        <v>79</v>
      </c>
      <c r="F12" s="165"/>
      <c r="G12" s="166">
        <f t="shared" ref="G12:H12" si="5">SUM(G4:G11)</f>
        <v>464</v>
      </c>
      <c r="H12" s="166">
        <f t="shared" si="5"/>
        <v>116</v>
      </c>
      <c r="I12" s="167">
        <f>(B12-H12)/B12*100</f>
        <v>85.241730279898221</v>
      </c>
    </row>
    <row r="13" spans="1:13" x14ac:dyDescent="0.3">
      <c r="A13" t="s">
        <v>112</v>
      </c>
      <c r="G13" s="103">
        <f>B11</f>
        <v>98</v>
      </c>
      <c r="H13" t="s">
        <v>99</v>
      </c>
    </row>
    <row r="14" spans="1:13" x14ac:dyDescent="0.3">
      <c r="A14" s="172" t="s">
        <v>223</v>
      </c>
    </row>
    <row r="15" spans="1:13" x14ac:dyDescent="0.3">
      <c r="A15" s="173" t="s">
        <v>224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11"/>
  <sheetViews>
    <sheetView zoomScaleNormal="100" workbookViewId="0">
      <selection activeCell="D14" sqref="D14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86" t="s">
        <v>105</v>
      </c>
      <c r="B1" s="376" t="s">
        <v>106</v>
      </c>
      <c r="C1" s="379" t="s">
        <v>107</v>
      </c>
      <c r="D1" s="380"/>
      <c r="E1" s="381"/>
      <c r="F1" s="88" t="s">
        <v>108</v>
      </c>
      <c r="G1" s="88" t="s">
        <v>221</v>
      </c>
      <c r="H1" s="376" t="s">
        <v>222</v>
      </c>
      <c r="I1" s="89" t="s">
        <v>109</v>
      </c>
      <c r="J1" s="384" t="s">
        <v>116</v>
      </c>
      <c r="K1" s="385"/>
      <c r="L1" s="385"/>
      <c r="M1" s="385"/>
    </row>
    <row r="2" spans="1:13" ht="24.6" x14ac:dyDescent="0.3">
      <c r="A2" s="387"/>
      <c r="B2" s="377"/>
      <c r="C2" s="382">
        <v>2563</v>
      </c>
      <c r="D2" s="382">
        <v>2564</v>
      </c>
      <c r="E2" s="382">
        <v>2565</v>
      </c>
      <c r="F2" s="90" t="s">
        <v>110</v>
      </c>
      <c r="G2" s="91" t="s">
        <v>111</v>
      </c>
      <c r="H2" s="377"/>
      <c r="I2" s="92"/>
      <c r="J2" s="384"/>
      <c r="K2" s="385"/>
      <c r="L2" s="385"/>
      <c r="M2" s="385"/>
    </row>
    <row r="3" spans="1:13" ht="30" customHeight="1" thickBot="1" x14ac:dyDescent="0.35">
      <c r="A3" s="388"/>
      <c r="B3" s="378"/>
      <c r="C3" s="383"/>
      <c r="D3" s="383"/>
      <c r="E3" s="383"/>
      <c r="F3" s="93"/>
      <c r="G3" s="94"/>
      <c r="H3" s="378"/>
      <c r="I3" s="95" t="s">
        <v>79</v>
      </c>
      <c r="J3" s="384"/>
      <c r="K3" s="385"/>
      <c r="L3" s="385"/>
      <c r="M3" s="385"/>
    </row>
    <row r="4" spans="1:13" s="99" customFormat="1" ht="25.2" thickBot="1" x14ac:dyDescent="0.35">
      <c r="A4" s="282">
        <v>2562</v>
      </c>
      <c r="B4" s="96">
        <v>21</v>
      </c>
      <c r="C4" s="97">
        <v>0</v>
      </c>
      <c r="D4" s="96">
        <v>16</v>
      </c>
      <c r="E4" s="96">
        <v>0</v>
      </c>
      <c r="F4" s="160">
        <f>C4/B4*100</f>
        <v>0</v>
      </c>
      <c r="G4" s="161">
        <f>B4-C4-D4-E4-H4</f>
        <v>0</v>
      </c>
      <c r="H4" s="98">
        <v>5</v>
      </c>
      <c r="I4" s="168">
        <f t="shared" ref="I4:I6" si="0">(B4-H4)/B4*100</f>
        <v>76.19047619047619</v>
      </c>
      <c r="J4" s="384"/>
      <c r="K4" s="385"/>
      <c r="L4" s="385"/>
      <c r="M4" s="385"/>
    </row>
    <row r="5" spans="1:13" s="99" customFormat="1" ht="25.2" thickBot="1" x14ac:dyDescent="0.35">
      <c r="A5" s="282">
        <v>2563</v>
      </c>
      <c r="B5" s="100">
        <v>23</v>
      </c>
      <c r="C5" s="101">
        <v>0</v>
      </c>
      <c r="D5" s="101">
        <v>8</v>
      </c>
      <c r="E5" s="100">
        <v>2</v>
      </c>
      <c r="F5" s="162">
        <f>(SUM(C5:D5))/B5*100</f>
        <v>34.782608695652172</v>
      </c>
      <c r="G5" s="161">
        <f t="shared" ref="G5:G7" si="1">B5-C5-D5-E5-H5</f>
        <v>9</v>
      </c>
      <c r="H5" s="102">
        <v>4</v>
      </c>
      <c r="I5" s="169">
        <f t="shared" si="0"/>
        <v>82.608695652173907</v>
      </c>
      <c r="J5" s="384"/>
      <c r="K5" s="385"/>
      <c r="L5" s="385"/>
      <c r="M5" s="385"/>
    </row>
    <row r="6" spans="1:13" ht="25.2" thickBot="1" x14ac:dyDescent="0.35">
      <c r="A6" s="282">
        <v>2564</v>
      </c>
      <c r="B6" s="102">
        <v>18</v>
      </c>
      <c r="C6" s="100">
        <v>0</v>
      </c>
      <c r="D6" s="101">
        <v>0</v>
      </c>
      <c r="E6" s="101">
        <v>7</v>
      </c>
      <c r="F6" s="162">
        <f>(SUM(D6:E6))/B6*100</f>
        <v>38.888888888888893</v>
      </c>
      <c r="G6" s="161">
        <f t="shared" si="1"/>
        <v>9</v>
      </c>
      <c r="H6" s="102">
        <v>2</v>
      </c>
      <c r="I6" s="169">
        <f t="shared" si="0"/>
        <v>88.888888888888886</v>
      </c>
      <c r="J6" s="384"/>
      <c r="K6" s="385"/>
      <c r="L6" s="385"/>
      <c r="M6" s="385"/>
    </row>
    <row r="7" spans="1:13" ht="25.2" thickBot="1" x14ac:dyDescent="0.35">
      <c r="A7" s="282">
        <v>2565</v>
      </c>
      <c r="B7" s="102">
        <v>24</v>
      </c>
      <c r="C7" s="102">
        <v>0</v>
      </c>
      <c r="D7" s="102">
        <v>0</v>
      </c>
      <c r="E7" s="102">
        <v>0</v>
      </c>
      <c r="F7" s="163">
        <f t="shared" ref="F7" si="2">(SUM(C7:E7))/B7*100</f>
        <v>0</v>
      </c>
      <c r="G7" s="161">
        <f t="shared" si="1"/>
        <v>24</v>
      </c>
      <c r="H7" s="102">
        <v>0</v>
      </c>
      <c r="I7" s="170">
        <f t="shared" ref="I7:I8" si="3">(B7-H7)/B7*100</f>
        <v>100</v>
      </c>
    </row>
    <row r="8" spans="1:13" ht="24" thickBot="1" x14ac:dyDescent="0.35">
      <c r="A8" s="175" t="s">
        <v>62</v>
      </c>
      <c r="B8" s="166">
        <f>SUM(B4:B7)</f>
        <v>86</v>
      </c>
      <c r="C8" s="166">
        <f>SUM(C4:C7)</f>
        <v>0</v>
      </c>
      <c r="D8" s="166">
        <f>SUM(D4:D7)</f>
        <v>24</v>
      </c>
      <c r="E8" s="166">
        <f>SUM(E4:E7)</f>
        <v>9</v>
      </c>
      <c r="F8" s="165"/>
      <c r="G8" s="166">
        <f>SUM(G4:G7)</f>
        <v>42</v>
      </c>
      <c r="H8" s="166">
        <f>SUM(H4:H7)</f>
        <v>11</v>
      </c>
      <c r="I8" s="176">
        <f t="shared" si="3"/>
        <v>87.20930232558139</v>
      </c>
    </row>
    <row r="9" spans="1:13" x14ac:dyDescent="0.3">
      <c r="A9" t="s">
        <v>115</v>
      </c>
      <c r="G9" s="103">
        <f>B7</f>
        <v>24</v>
      </c>
      <c r="H9" t="s">
        <v>99</v>
      </c>
    </row>
    <row r="10" spans="1:13" x14ac:dyDescent="0.3">
      <c r="A10" s="172" t="s">
        <v>223</v>
      </c>
    </row>
    <row r="11" spans="1:13" x14ac:dyDescent="0.3">
      <c r="A11" s="173" t="s">
        <v>224</v>
      </c>
      <c r="I11" t="s">
        <v>79</v>
      </c>
    </row>
  </sheetData>
  <mergeCells count="8">
    <mergeCell ref="J1:M6"/>
    <mergeCell ref="A1:A3"/>
    <mergeCell ref="B1:B3"/>
    <mergeCell ref="C1:E1"/>
    <mergeCell ref="H1:H3"/>
    <mergeCell ref="C2:C3"/>
    <mergeCell ref="D2:D3"/>
    <mergeCell ref="E2:E3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M12"/>
  <sheetViews>
    <sheetView workbookViewId="0">
      <selection activeCell="J13" sqref="J13"/>
    </sheetView>
  </sheetViews>
  <sheetFormatPr defaultRowHeight="14.4" x14ac:dyDescent="0.3"/>
  <cols>
    <col min="6" max="6" width="18.5546875" customWidth="1"/>
    <col min="7" max="7" width="21.21875" customWidth="1"/>
    <col min="8" max="8" width="22.44140625" customWidth="1"/>
    <col min="9" max="9" width="22.77734375" customWidth="1"/>
  </cols>
  <sheetData>
    <row r="1" spans="1:13" ht="49.8" thickBot="1" x14ac:dyDescent="0.35">
      <c r="A1" s="386" t="s">
        <v>105</v>
      </c>
      <c r="B1" s="376" t="s">
        <v>106</v>
      </c>
      <c r="C1" s="379" t="s">
        <v>107</v>
      </c>
      <c r="D1" s="380"/>
      <c r="E1" s="381"/>
      <c r="F1" s="88" t="s">
        <v>108</v>
      </c>
      <c r="G1" s="88" t="s">
        <v>221</v>
      </c>
      <c r="H1" s="376" t="s">
        <v>222</v>
      </c>
      <c r="I1" s="89" t="s">
        <v>109</v>
      </c>
      <c r="J1" s="384" t="s">
        <v>116</v>
      </c>
      <c r="K1" s="385"/>
      <c r="L1" s="385"/>
      <c r="M1" s="385"/>
    </row>
    <row r="2" spans="1:13" ht="24.6" x14ac:dyDescent="0.3">
      <c r="A2" s="387"/>
      <c r="B2" s="377"/>
      <c r="C2" s="382">
        <v>2563</v>
      </c>
      <c r="D2" s="382">
        <v>2564</v>
      </c>
      <c r="E2" s="382">
        <v>2565</v>
      </c>
      <c r="F2" s="90" t="s">
        <v>110</v>
      </c>
      <c r="G2" s="91" t="s">
        <v>111</v>
      </c>
      <c r="H2" s="377"/>
      <c r="I2" s="92"/>
      <c r="J2" s="384"/>
      <c r="K2" s="385"/>
      <c r="L2" s="385"/>
      <c r="M2" s="385"/>
    </row>
    <row r="3" spans="1:13" ht="30" customHeight="1" thickBot="1" x14ac:dyDescent="0.35">
      <c r="A3" s="388"/>
      <c r="B3" s="378"/>
      <c r="C3" s="383"/>
      <c r="D3" s="383"/>
      <c r="E3" s="383"/>
      <c r="F3" s="93"/>
      <c r="G3" s="94"/>
      <c r="H3" s="378"/>
      <c r="I3" s="95" t="s">
        <v>79</v>
      </c>
      <c r="J3" s="384"/>
      <c r="K3" s="385"/>
      <c r="L3" s="385"/>
      <c r="M3" s="385"/>
    </row>
    <row r="4" spans="1:13" s="99" customFormat="1" ht="25.2" thickBot="1" x14ac:dyDescent="0.35">
      <c r="A4" s="282">
        <v>2561</v>
      </c>
      <c r="B4" s="96">
        <v>10</v>
      </c>
      <c r="C4" s="97">
        <v>3</v>
      </c>
      <c r="D4" s="96">
        <v>5</v>
      </c>
      <c r="E4" s="96">
        <v>0</v>
      </c>
      <c r="F4" s="160">
        <f>C4/B4*100</f>
        <v>30</v>
      </c>
      <c r="G4" s="161">
        <f>B4-C4-D4-E4-H4</f>
        <v>0</v>
      </c>
      <c r="H4" s="98">
        <v>2</v>
      </c>
      <c r="I4" s="168">
        <f t="shared" ref="I4:I8" si="0">(B4-H4)/B4*100</f>
        <v>80</v>
      </c>
      <c r="J4" s="384"/>
      <c r="K4" s="385"/>
      <c r="L4" s="385"/>
      <c r="M4" s="385"/>
    </row>
    <row r="5" spans="1:13" s="99" customFormat="1" ht="25.2" thickBot="1" x14ac:dyDescent="0.35">
      <c r="A5" s="283">
        <v>2562</v>
      </c>
      <c r="B5" s="100">
        <v>13</v>
      </c>
      <c r="C5" s="101">
        <v>0</v>
      </c>
      <c r="D5" s="101">
        <v>6</v>
      </c>
      <c r="E5" s="100">
        <v>3</v>
      </c>
      <c r="F5" s="162">
        <f>(SUM(C5:D5))/B5*100</f>
        <v>46.153846153846153</v>
      </c>
      <c r="G5" s="161">
        <f>B5-C5-D5-E5-H5</f>
        <v>2</v>
      </c>
      <c r="H5" s="102">
        <v>2</v>
      </c>
      <c r="I5" s="169">
        <f>(B5-H5)/B5*100</f>
        <v>84.615384615384613</v>
      </c>
      <c r="J5" s="384"/>
      <c r="K5" s="385"/>
      <c r="L5" s="385"/>
      <c r="M5" s="385"/>
    </row>
    <row r="6" spans="1:13" s="99" customFormat="1" ht="25.2" thickBot="1" x14ac:dyDescent="0.35">
      <c r="A6" s="282">
        <v>2563</v>
      </c>
      <c r="B6" s="100">
        <v>10</v>
      </c>
      <c r="C6" s="100"/>
      <c r="D6" s="101">
        <v>5</v>
      </c>
      <c r="E6" s="101">
        <v>1</v>
      </c>
      <c r="F6" s="162">
        <f>(SUM(D6:E6))/B6*100</f>
        <v>60</v>
      </c>
      <c r="G6" s="161">
        <f>B6-C6-D6-E6-H6</f>
        <v>4</v>
      </c>
      <c r="H6" s="102">
        <v>0</v>
      </c>
      <c r="I6" s="169">
        <f>(B6-H6)/B6*100</f>
        <v>100</v>
      </c>
      <c r="J6" s="384"/>
      <c r="K6" s="385"/>
      <c r="L6" s="385"/>
      <c r="M6" s="385"/>
    </row>
    <row r="7" spans="1:13" ht="25.2" thickBot="1" x14ac:dyDescent="0.35">
      <c r="A7" s="283">
        <v>2564</v>
      </c>
      <c r="B7" s="102">
        <v>9</v>
      </c>
      <c r="C7" s="100">
        <v>0</v>
      </c>
      <c r="D7" s="100">
        <v>0</v>
      </c>
      <c r="E7" s="100">
        <v>4</v>
      </c>
      <c r="F7" s="170">
        <f>(SUM(D7:E7))/B7*100</f>
        <v>44.444444444444443</v>
      </c>
      <c r="G7" s="161">
        <f t="shared" ref="G7:G8" si="1">B7-C7-D7-E7-H7</f>
        <v>5</v>
      </c>
      <c r="H7" s="102">
        <v>0</v>
      </c>
      <c r="I7" s="170">
        <f t="shared" si="0"/>
        <v>100</v>
      </c>
      <c r="J7" s="384"/>
      <c r="K7" s="385"/>
      <c r="L7" s="385"/>
      <c r="M7" s="385"/>
    </row>
    <row r="8" spans="1:13" ht="25.2" thickBot="1" x14ac:dyDescent="0.35">
      <c r="A8" s="282">
        <v>2565</v>
      </c>
      <c r="B8" s="102">
        <v>9</v>
      </c>
      <c r="C8" s="102">
        <v>0</v>
      </c>
      <c r="D8" s="102">
        <v>0</v>
      </c>
      <c r="E8" s="102">
        <v>0</v>
      </c>
      <c r="F8" s="163">
        <f t="shared" ref="F8" si="2">(SUM(C8:E8))/B8*100</f>
        <v>0</v>
      </c>
      <c r="G8" s="161">
        <f t="shared" si="1"/>
        <v>9</v>
      </c>
      <c r="H8" s="102">
        <v>0</v>
      </c>
      <c r="I8" s="170">
        <f t="shared" si="0"/>
        <v>100</v>
      </c>
    </row>
    <row r="9" spans="1:13" ht="24" thickBot="1" x14ac:dyDescent="0.35">
      <c r="A9" s="175" t="s">
        <v>62</v>
      </c>
      <c r="B9" s="166">
        <f>SUM(B4:B8)</f>
        <v>51</v>
      </c>
      <c r="C9" s="166">
        <f>SUM(C4:C8)</f>
        <v>3</v>
      </c>
      <c r="D9" s="166">
        <f>SUM(D4:D8)</f>
        <v>16</v>
      </c>
      <c r="E9" s="166">
        <f>SUM(E4:E8)</f>
        <v>8</v>
      </c>
      <c r="F9" s="165"/>
      <c r="G9" s="166">
        <f>SUM(G4:G8)</f>
        <v>20</v>
      </c>
      <c r="H9" s="166">
        <f>SUM(H4:H8)</f>
        <v>4</v>
      </c>
      <c r="I9" s="176">
        <f>(B9-H9)/B9*100</f>
        <v>92.156862745098039</v>
      </c>
    </row>
    <row r="10" spans="1:13" x14ac:dyDescent="0.3">
      <c r="A10" t="s">
        <v>115</v>
      </c>
      <c r="G10" s="103">
        <f>B8</f>
        <v>9</v>
      </c>
      <c r="H10" t="s">
        <v>99</v>
      </c>
    </row>
    <row r="11" spans="1:13" x14ac:dyDescent="0.3">
      <c r="A11" s="172" t="s">
        <v>223</v>
      </c>
    </row>
    <row r="12" spans="1:13" x14ac:dyDescent="0.3">
      <c r="A12" s="173" t="s">
        <v>224</v>
      </c>
    </row>
  </sheetData>
  <mergeCells count="8">
    <mergeCell ref="A1:A3"/>
    <mergeCell ref="B1:B3"/>
    <mergeCell ref="C1:E1"/>
    <mergeCell ref="H1:H3"/>
    <mergeCell ref="J1:M7"/>
    <mergeCell ref="C2:C3"/>
    <mergeCell ref="D2:D3"/>
    <mergeCell ref="E2:E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BCDFF"/>
  </sheetPr>
  <dimension ref="A1:T17"/>
  <sheetViews>
    <sheetView zoomScale="90" zoomScaleNormal="90" workbookViewId="0">
      <selection activeCell="N6" sqref="N6"/>
    </sheetView>
  </sheetViews>
  <sheetFormatPr defaultColWidth="9.21875" defaultRowHeight="24.6" x14ac:dyDescent="0.7"/>
  <cols>
    <col min="1" max="1" width="9.21875" style="45"/>
    <col min="2" max="2" width="20.44140625" style="46" customWidth="1"/>
    <col min="3" max="3" width="17.44140625" style="46" hidden="1" customWidth="1"/>
    <col min="4" max="4" width="22.44140625" style="46" customWidth="1"/>
    <col min="5" max="5" width="24.77734375" style="46" customWidth="1"/>
    <col min="6" max="7" width="9.21875" style="46"/>
    <col min="8" max="8" width="9.21875" style="46" customWidth="1"/>
    <col min="9" max="9" width="0" style="46" hidden="1" customWidth="1"/>
    <col min="10" max="10" width="0" style="45" hidden="1" customWidth="1"/>
    <col min="11" max="11" width="4.6640625" style="45" customWidth="1"/>
    <col min="12" max="12" width="3.33203125" style="45" customWidth="1"/>
    <col min="13" max="14" width="9.21875" style="45"/>
    <col min="15" max="16" width="9.21875" style="45" customWidth="1"/>
    <col min="17" max="16384" width="9.21875" style="45"/>
  </cols>
  <sheetData>
    <row r="1" spans="1:20" ht="31.8" x14ac:dyDescent="0.8">
      <c r="A1" s="407" t="s">
        <v>228</v>
      </c>
      <c r="B1" s="147" t="s">
        <v>206</v>
      </c>
    </row>
    <row r="2" spans="1:20" x14ac:dyDescent="0.7">
      <c r="B2" s="114" t="s">
        <v>64</v>
      </c>
      <c r="C2" s="61" t="s">
        <v>82</v>
      </c>
      <c r="D2" s="112" t="s">
        <v>113</v>
      </c>
      <c r="E2" s="113" t="s">
        <v>128</v>
      </c>
      <c r="F2" s="402" t="s">
        <v>226</v>
      </c>
      <c r="L2" s="53"/>
      <c r="M2" s="50"/>
      <c r="N2" s="116" t="s">
        <v>129</v>
      </c>
      <c r="O2" s="117" t="s">
        <v>128</v>
      </c>
      <c r="R2" s="46"/>
      <c r="S2" s="46"/>
      <c r="T2" s="46"/>
    </row>
    <row r="3" spans="1:20" x14ac:dyDescent="0.7">
      <c r="B3" s="115">
        <v>2.1</v>
      </c>
      <c r="C3" s="59">
        <v>3</v>
      </c>
      <c r="D3" s="59">
        <v>4.68</v>
      </c>
      <c r="E3" s="59">
        <v>4.68</v>
      </c>
      <c r="L3" s="46"/>
      <c r="M3" s="118" t="s">
        <v>130</v>
      </c>
      <c r="N3" s="177">
        <f>SUM(D3:D4)/2</f>
        <v>4.79</v>
      </c>
      <c r="O3" s="227">
        <f>SUM(E3:E4)/2</f>
        <v>4.79</v>
      </c>
      <c r="R3" s="46"/>
      <c r="S3" s="46"/>
      <c r="T3" s="46"/>
    </row>
    <row r="4" spans="1:20" x14ac:dyDescent="0.7">
      <c r="B4" s="115">
        <v>2.2000000000000002</v>
      </c>
      <c r="C4" s="59">
        <v>3</v>
      </c>
      <c r="D4" s="59">
        <v>4.9000000000000004</v>
      </c>
      <c r="E4" s="59">
        <v>4.9000000000000004</v>
      </c>
      <c r="L4" s="46"/>
      <c r="M4" s="118" t="s">
        <v>131</v>
      </c>
      <c r="N4" s="177">
        <f>SUM(D5:D7)/3</f>
        <v>4</v>
      </c>
      <c r="O4" s="227">
        <f>SUM(E5:E7)/3</f>
        <v>3.3333333333333335</v>
      </c>
      <c r="R4" s="46"/>
      <c r="S4" s="46" t="s">
        <v>77</v>
      </c>
      <c r="T4" s="46"/>
    </row>
    <row r="5" spans="1:20" x14ac:dyDescent="0.7">
      <c r="B5" s="115">
        <v>3.1</v>
      </c>
      <c r="C5" s="59">
        <v>3</v>
      </c>
      <c r="D5" s="111">
        <v>4</v>
      </c>
      <c r="E5" s="59">
        <v>3</v>
      </c>
      <c r="L5" s="46"/>
      <c r="M5" s="118" t="s">
        <v>132</v>
      </c>
      <c r="N5" s="177">
        <f>SUM(D8:D10)/3</f>
        <v>3.7777777777777781</v>
      </c>
      <c r="O5" s="227">
        <f>SUM(E8:E10)/3</f>
        <v>3.1111111111111112</v>
      </c>
      <c r="R5" s="46"/>
      <c r="S5" s="46"/>
      <c r="T5" s="46"/>
    </row>
    <row r="6" spans="1:20" x14ac:dyDescent="0.7">
      <c r="B6" s="115">
        <v>3.2</v>
      </c>
      <c r="C6" s="59">
        <v>3</v>
      </c>
      <c r="D6" s="59">
        <v>4</v>
      </c>
      <c r="E6" s="59">
        <v>4</v>
      </c>
      <c r="L6" s="46"/>
      <c r="M6" s="118" t="s">
        <v>133</v>
      </c>
      <c r="N6" s="177">
        <f>SUM(D11:D14)/4</f>
        <v>4.5</v>
      </c>
      <c r="O6" s="227">
        <f>SUM(E11:E14)/4</f>
        <v>3.5</v>
      </c>
      <c r="R6" s="46"/>
      <c r="S6" s="46"/>
      <c r="T6" s="46"/>
    </row>
    <row r="7" spans="1:20" x14ac:dyDescent="0.7">
      <c r="B7" s="115">
        <v>3.3</v>
      </c>
      <c r="C7" s="59">
        <v>3</v>
      </c>
      <c r="D7" s="59">
        <v>4</v>
      </c>
      <c r="E7" s="59">
        <v>3</v>
      </c>
      <c r="L7" s="46"/>
      <c r="M7" s="118" t="s">
        <v>134</v>
      </c>
      <c r="N7" s="177">
        <f>SUM(D15)</f>
        <v>5</v>
      </c>
      <c r="O7" s="227">
        <f>SUM(E15)</f>
        <v>4</v>
      </c>
      <c r="R7" s="46"/>
      <c r="S7" s="46"/>
      <c r="T7" s="46"/>
    </row>
    <row r="8" spans="1:20" ht="49.2" x14ac:dyDescent="0.7">
      <c r="B8" s="115">
        <v>4.0999999999999996</v>
      </c>
      <c r="C8" s="59">
        <v>3</v>
      </c>
      <c r="D8" s="59">
        <v>4</v>
      </c>
      <c r="E8" s="59">
        <v>3</v>
      </c>
      <c r="F8" s="148" t="s">
        <v>207</v>
      </c>
      <c r="G8" s="148" t="s">
        <v>208</v>
      </c>
      <c r="H8" s="148" t="s">
        <v>209</v>
      </c>
      <c r="I8" s="46">
        <v>4.2</v>
      </c>
      <c r="K8" s="148"/>
      <c r="L8" s="46"/>
      <c r="M8" s="46"/>
      <c r="N8" s="46"/>
      <c r="O8" s="46"/>
      <c r="P8" s="46"/>
    </row>
    <row r="9" spans="1:20" x14ac:dyDescent="0.7">
      <c r="B9" s="115">
        <v>4.2</v>
      </c>
      <c r="C9" s="73">
        <f>SUM(F10:I10)/3</f>
        <v>3.3333333333333335</v>
      </c>
      <c r="D9" s="177">
        <f>SUM(F10:H10)/3</f>
        <v>3.3333333333333335</v>
      </c>
      <c r="E9" s="178">
        <f>SUM(F9:I9)/3</f>
        <v>3.3333333333333335</v>
      </c>
      <c r="F9" s="230">
        <v>5</v>
      </c>
      <c r="G9" s="231">
        <v>0</v>
      </c>
      <c r="H9" s="231">
        <v>5</v>
      </c>
      <c r="I9" s="179"/>
      <c r="J9" s="180"/>
      <c r="L9" s="46"/>
    </row>
    <row r="10" spans="1:20" x14ac:dyDescent="0.7">
      <c r="B10" s="115">
        <v>4.3</v>
      </c>
      <c r="C10" s="59">
        <v>3</v>
      </c>
      <c r="D10" s="59">
        <v>4</v>
      </c>
      <c r="E10" s="59">
        <v>3</v>
      </c>
      <c r="F10" s="116">
        <v>5</v>
      </c>
      <c r="G10" s="116">
        <v>0</v>
      </c>
      <c r="H10" s="116">
        <v>5</v>
      </c>
      <c r="I10" s="109"/>
      <c r="J10" s="110"/>
      <c r="L10" s="46"/>
      <c r="R10" s="46"/>
      <c r="S10" s="46"/>
      <c r="T10" s="46"/>
    </row>
    <row r="11" spans="1:20" x14ac:dyDescent="0.7">
      <c r="B11" s="115">
        <v>5.0999999999999996</v>
      </c>
      <c r="C11" s="59">
        <v>3</v>
      </c>
      <c r="D11" s="59">
        <v>5</v>
      </c>
      <c r="E11" s="59">
        <v>3</v>
      </c>
      <c r="L11" s="46"/>
      <c r="R11" s="46"/>
      <c r="S11" s="46"/>
      <c r="T11" s="46"/>
    </row>
    <row r="12" spans="1:20" x14ac:dyDescent="0.7">
      <c r="B12" s="115">
        <v>5.2</v>
      </c>
      <c r="C12" s="59">
        <v>3</v>
      </c>
      <c r="D12" s="59">
        <v>4</v>
      </c>
      <c r="E12" s="59">
        <v>3</v>
      </c>
      <c r="L12" s="46"/>
      <c r="R12" s="46"/>
      <c r="S12" s="46"/>
      <c r="T12" s="46"/>
    </row>
    <row r="13" spans="1:20" x14ac:dyDescent="0.7">
      <c r="B13" s="115">
        <v>5.3</v>
      </c>
      <c r="C13" s="59">
        <v>3</v>
      </c>
      <c r="D13" s="59">
        <v>4</v>
      </c>
      <c r="E13" s="59">
        <v>3</v>
      </c>
      <c r="L13" s="46"/>
      <c r="R13" s="46"/>
      <c r="S13" s="46" t="s">
        <v>80</v>
      </c>
      <c r="T13" s="46"/>
    </row>
    <row r="14" spans="1:20" x14ac:dyDescent="0.7">
      <c r="B14" s="115">
        <v>5.4</v>
      </c>
      <c r="C14" s="59">
        <v>3</v>
      </c>
      <c r="D14" s="59">
        <v>5</v>
      </c>
      <c r="E14" s="59">
        <v>5</v>
      </c>
      <c r="L14" s="46"/>
      <c r="R14" s="46"/>
      <c r="S14" s="46"/>
      <c r="T14" s="46" t="s">
        <v>78</v>
      </c>
    </row>
    <row r="15" spans="1:20" x14ac:dyDescent="0.7">
      <c r="B15" s="115">
        <v>6.1</v>
      </c>
      <c r="C15" s="59">
        <v>3</v>
      </c>
      <c r="D15" s="59">
        <v>5</v>
      </c>
      <c r="E15" s="59">
        <v>4</v>
      </c>
      <c r="G15" s="53"/>
      <c r="H15" s="53"/>
      <c r="L15" s="46"/>
      <c r="R15" s="46"/>
      <c r="S15" s="46"/>
      <c r="T15" s="46"/>
    </row>
    <row r="16" spans="1:20" x14ac:dyDescent="0.7">
      <c r="B16" s="114" t="s">
        <v>81</v>
      </c>
      <c r="C16" s="62">
        <f>SUM(C3:C15)/13</f>
        <v>3.0256410256410251</v>
      </c>
      <c r="D16" s="228">
        <f>SUM(D3:D15)/13</f>
        <v>4.3010256410256407</v>
      </c>
      <c r="E16" s="229">
        <f>SUM(E3:E15)/13</f>
        <v>3.6087179487179482</v>
      </c>
      <c r="G16" s="181"/>
      <c r="H16" s="182"/>
      <c r="I16" s="45"/>
      <c r="L16" s="53"/>
    </row>
    <row r="17" spans="6:6" x14ac:dyDescent="0.7">
      <c r="F17" s="46" t="s">
        <v>79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BCDFF"/>
  </sheetPr>
  <dimension ref="B1:I19"/>
  <sheetViews>
    <sheetView tabSelected="1" zoomScale="90" zoomScaleNormal="90" workbookViewId="0">
      <selection activeCell="I16" sqref="I16"/>
    </sheetView>
  </sheetViews>
  <sheetFormatPr defaultColWidth="9.21875" defaultRowHeight="24.6" x14ac:dyDescent="0.7"/>
  <cols>
    <col min="1" max="1" width="2.77734375" style="47" customWidth="1"/>
    <col min="2" max="2" width="12.21875" style="128" customWidth="1"/>
    <col min="3" max="3" width="8.77734375" style="128" customWidth="1"/>
    <col min="4" max="6" width="18.77734375" style="51" customWidth="1"/>
    <col min="7" max="7" width="18.77734375" style="128" customWidth="1"/>
    <col min="8" max="8" width="21.21875" style="47" customWidth="1"/>
    <col min="9" max="16384" width="9.21875" style="47"/>
  </cols>
  <sheetData>
    <row r="1" spans="2:9" ht="31.8" x14ac:dyDescent="0.8">
      <c r="B1" s="393"/>
      <c r="C1" s="393"/>
      <c r="D1" s="393"/>
      <c r="E1" s="393"/>
      <c r="F1" s="393"/>
      <c r="G1" s="393"/>
      <c r="H1" s="393"/>
      <c r="I1" s="407" t="s">
        <v>228</v>
      </c>
    </row>
    <row r="2" spans="2:9" x14ac:dyDescent="0.7">
      <c r="B2" s="394" t="s">
        <v>135</v>
      </c>
      <c r="C2" s="394"/>
      <c r="D2" s="394"/>
      <c r="E2" s="394"/>
      <c r="F2" s="394"/>
      <c r="G2" s="394"/>
      <c r="H2" s="394"/>
    </row>
    <row r="3" spans="2:9" x14ac:dyDescent="0.7">
      <c r="B3" s="395"/>
      <c r="C3" s="395"/>
      <c r="D3" s="395"/>
      <c r="E3" s="395"/>
      <c r="F3" s="395"/>
      <c r="G3" s="395"/>
      <c r="H3" s="395"/>
      <c r="I3" s="402" t="s">
        <v>227</v>
      </c>
    </row>
    <row r="4" spans="2:9" ht="32.25" customHeight="1" x14ac:dyDescent="0.7">
      <c r="B4" s="396" t="s">
        <v>70</v>
      </c>
      <c r="C4" s="129" t="s">
        <v>69</v>
      </c>
      <c r="D4" s="398" t="s">
        <v>68</v>
      </c>
      <c r="E4" s="398" t="s">
        <v>67</v>
      </c>
      <c r="F4" s="398" t="s">
        <v>66</v>
      </c>
      <c r="G4" s="400" t="s">
        <v>83</v>
      </c>
      <c r="H4" s="400" t="s">
        <v>65</v>
      </c>
    </row>
    <row r="5" spans="2:9" ht="32.25" customHeight="1" x14ac:dyDescent="0.7">
      <c r="B5" s="397"/>
      <c r="C5" s="48" t="s">
        <v>64</v>
      </c>
      <c r="D5" s="399"/>
      <c r="E5" s="399"/>
      <c r="F5" s="399"/>
      <c r="G5" s="401"/>
      <c r="H5" s="401"/>
    </row>
    <row r="6" spans="2:9" ht="24" customHeight="1" x14ac:dyDescent="0.7">
      <c r="B6" s="49">
        <v>1</v>
      </c>
      <c r="C6" s="389" t="s">
        <v>71</v>
      </c>
      <c r="D6" s="389"/>
      <c r="E6" s="389"/>
      <c r="F6" s="389"/>
      <c r="G6" s="390"/>
      <c r="H6" s="72" t="s">
        <v>72</v>
      </c>
    </row>
    <row r="7" spans="2:9" ht="24" customHeight="1" x14ac:dyDescent="0.7">
      <c r="B7" s="49">
        <v>2</v>
      </c>
      <c r="C7" s="49">
        <v>2</v>
      </c>
      <c r="D7" s="70" t="s">
        <v>63</v>
      </c>
      <c r="E7" s="70" t="s">
        <v>63</v>
      </c>
      <c r="F7" s="237">
        <f>SUM('ราย ตบช.(ตรี-โท)'!E3:E4)/2</f>
        <v>4.79</v>
      </c>
      <c r="G7" s="239">
        <f>'ราย ตบช.(ตรี-โท)'!O3</f>
        <v>4.79</v>
      </c>
      <c r="H7" s="240" t="str">
        <f>IF(G7&gt;=4.01,E19,IF(G7&gt;=3.01,E18,IF(G7&gt;=2.01,E17,IF(G7&gt;=0.01,E16,IF(G7&gt;=0,E15)))))</f>
        <v>ระดับคุณภาพดีมาก</v>
      </c>
    </row>
    <row r="8" spans="2:9" ht="24" customHeight="1" x14ac:dyDescent="0.7">
      <c r="B8" s="49">
        <v>3</v>
      </c>
      <c r="C8" s="49">
        <v>3</v>
      </c>
      <c r="D8" s="237">
        <f>SUM('ราย ตบช.(ตรี-โท)'!E5:E7)/3</f>
        <v>3.3333333333333335</v>
      </c>
      <c r="E8" s="70" t="s">
        <v>63</v>
      </c>
      <c r="F8" s="70" t="s">
        <v>63</v>
      </c>
      <c r="G8" s="239">
        <f>'ราย ตบช.(ตรี-โท)'!O4</f>
        <v>3.3333333333333335</v>
      </c>
      <c r="H8" s="240" t="str">
        <f>IF(G8&gt;=4.01,E19,IF(G8&gt;=3.01,E18,IF(G8&gt;=2.01,E17,IF(G8&gt;=0.01,E16,IF(G8&gt;=0,E15)))))</f>
        <v>ระดับคุณภาพดี</v>
      </c>
    </row>
    <row r="9" spans="2:9" ht="24" customHeight="1" x14ac:dyDescent="0.7">
      <c r="B9" s="49">
        <v>4</v>
      </c>
      <c r="C9" s="49">
        <v>3</v>
      </c>
      <c r="D9" s="237">
        <f>SUM('ราย ตบช.(ตรี-โท)'!E8:E10)/3</f>
        <v>3.1111111111111112</v>
      </c>
      <c r="E9" s="70" t="s">
        <v>63</v>
      </c>
      <c r="F9" s="70" t="s">
        <v>63</v>
      </c>
      <c r="G9" s="239">
        <f>'ราย ตบช.(ตรี-โท)'!O5</f>
        <v>3.1111111111111112</v>
      </c>
      <c r="H9" s="240" t="str">
        <f>IF(G9&gt;=4.01,E19,IF(G9&gt;=3.01,E18,IF(G9&gt;=2.01,E17,IF(G9&gt;=0.01,E16,IF(G9&gt;=0,E15)))))</f>
        <v>ระดับคุณภาพดี</v>
      </c>
    </row>
    <row r="10" spans="2:9" ht="24" customHeight="1" x14ac:dyDescent="0.7">
      <c r="B10" s="49">
        <v>5</v>
      </c>
      <c r="C10" s="49">
        <v>4</v>
      </c>
      <c r="D10" s="237">
        <f>'ราย ตบช.(ตรี-โท)'!E11</f>
        <v>3</v>
      </c>
      <c r="E10" s="237">
        <f>SUM('ราย ตบช.(ตรี-โท)'!E12:E14)/3</f>
        <v>3.6666666666666665</v>
      </c>
      <c r="F10" s="70" t="s">
        <v>63</v>
      </c>
      <c r="G10" s="239">
        <f>'ราย ตบช.(ตรี-โท)'!O6</f>
        <v>3.5</v>
      </c>
      <c r="H10" s="240" t="str">
        <f>IF(G10&gt;=4.01,E19,IF(G10&gt;=3.01,E18,IF(G10&gt;=2.01,E17,IF(G10&gt;=0.01,E16,IF(G10&gt;=0,E15)))))</f>
        <v>ระดับคุณภาพดี</v>
      </c>
      <c r="I10" s="403"/>
    </row>
    <row r="11" spans="2:9" ht="24" customHeight="1" x14ac:dyDescent="0.7">
      <c r="B11" s="49">
        <v>6</v>
      </c>
      <c r="C11" s="49">
        <v>1</v>
      </c>
      <c r="D11" s="70" t="s">
        <v>63</v>
      </c>
      <c r="E11" s="237">
        <f>'ราย ตบช.(ตรี-โท)'!E15</f>
        <v>4</v>
      </c>
      <c r="F11" s="70" t="s">
        <v>63</v>
      </c>
      <c r="G11" s="239">
        <f>'ราย ตบช.(ตรี-โท)'!O7</f>
        <v>4</v>
      </c>
      <c r="H11" s="240" t="str">
        <f>IF(G11&gt;=4.01,E19,IF(G11&gt;=3.01,E18,IF(G11&gt;=2.01,E17,IF(G11&gt;=0.01,E16,IF(G11&gt;=0,E15)))))</f>
        <v>ระดับคุณภาพดี</v>
      </c>
    </row>
    <row r="12" spans="2:9" ht="24" customHeight="1" x14ac:dyDescent="0.7">
      <c r="B12" s="67" t="s">
        <v>62</v>
      </c>
      <c r="C12" s="238">
        <f>SUM(C7:C11)</f>
        <v>13</v>
      </c>
      <c r="D12" s="405"/>
      <c r="E12" s="406"/>
      <c r="F12" s="405"/>
      <c r="G12" s="69"/>
      <c r="H12" s="69"/>
    </row>
    <row r="13" spans="2:9" s="52" customFormat="1" ht="23.4" x14ac:dyDescent="0.6">
      <c r="B13" s="391" t="s">
        <v>61</v>
      </c>
      <c r="C13" s="392"/>
      <c r="D13" s="239">
        <f>SUM('ราย ตบช.(ตรี-โท)'!E5:E11)/7</f>
        <v>3.1904761904761902</v>
      </c>
      <c r="E13" s="239">
        <f>SUM('ราย ตบช.(ตรี-โท)'!E12:E15)/4</f>
        <v>3.75</v>
      </c>
      <c r="F13" s="239">
        <f>SUM('ราย ตบช.(ตรี-โท)'!E3:E4)/2</f>
        <v>4.79</v>
      </c>
      <c r="G13" s="239">
        <f>'ราย ตบช.(ตรี-โท)'!E16</f>
        <v>3.6087179487179482</v>
      </c>
      <c r="H13" s="243" t="str">
        <f>IF(G13&gt;=4.01,E19,IF(G13&gt;=3.01,E18,IF(G13&gt;=2.01,E17,IF(G13&gt;=0.01,E16,IF(G13&gt;=0,E15)))))</f>
        <v>ระดับคุณภาพดี</v>
      </c>
    </row>
    <row r="15" spans="2:9" x14ac:dyDescent="0.7">
      <c r="B15" s="50" t="s">
        <v>60</v>
      </c>
      <c r="D15" s="60">
        <v>0</v>
      </c>
      <c r="E15" s="409" t="s">
        <v>92</v>
      </c>
    </row>
    <row r="16" spans="2:9" x14ac:dyDescent="0.7">
      <c r="D16" s="60" t="s">
        <v>84</v>
      </c>
      <c r="E16" s="404" t="s">
        <v>88</v>
      </c>
      <c r="H16" s="47" t="s">
        <v>76</v>
      </c>
    </row>
    <row r="17" spans="4:5" x14ac:dyDescent="0.7">
      <c r="D17" s="60" t="s">
        <v>85</v>
      </c>
      <c r="E17" s="404" t="s">
        <v>89</v>
      </c>
    </row>
    <row r="18" spans="4:5" x14ac:dyDescent="0.7">
      <c r="D18" s="60" t="s">
        <v>86</v>
      </c>
      <c r="E18" s="404" t="s">
        <v>90</v>
      </c>
    </row>
    <row r="19" spans="4:5" x14ac:dyDescent="0.7">
      <c r="D19" s="60" t="s">
        <v>87</v>
      </c>
      <c r="E19" s="404" t="s">
        <v>91</v>
      </c>
    </row>
  </sheetData>
  <mergeCells count="10">
    <mergeCell ref="C6:G6"/>
    <mergeCell ref="B13:C13"/>
    <mergeCell ref="B1:H1"/>
    <mergeCell ref="B2:H3"/>
    <mergeCell ref="B4:B5"/>
    <mergeCell ref="D4:D5"/>
    <mergeCell ref="E4:E5"/>
    <mergeCell ref="F4:F5"/>
    <mergeCell ref="G4:G5"/>
    <mergeCell ref="H4:H5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T17"/>
  <sheetViews>
    <sheetView zoomScale="90" zoomScaleNormal="90" workbookViewId="0">
      <selection activeCell="L18" sqref="L18"/>
    </sheetView>
  </sheetViews>
  <sheetFormatPr defaultColWidth="9.21875" defaultRowHeight="24.6" x14ac:dyDescent="0.7"/>
  <cols>
    <col min="1" max="1" width="9.21875" style="45"/>
    <col min="2" max="2" width="20.44140625" style="46" customWidth="1"/>
    <col min="3" max="3" width="17.44140625" style="46" hidden="1" customWidth="1"/>
    <col min="4" max="4" width="22.44140625" style="46" customWidth="1"/>
    <col min="5" max="5" width="24.77734375" style="46" customWidth="1"/>
    <col min="6" max="7" width="9.21875" style="46"/>
    <col min="8" max="8" width="9.21875" style="46" customWidth="1"/>
    <col min="9" max="9" width="0" style="46" hidden="1" customWidth="1"/>
    <col min="10" max="10" width="0" style="45" hidden="1" customWidth="1"/>
    <col min="11" max="11" width="9" style="45" customWidth="1"/>
    <col min="12" max="12" width="5" style="45" customWidth="1"/>
    <col min="13" max="14" width="9.21875" style="45"/>
    <col min="15" max="16" width="9.21875" style="45" customWidth="1"/>
    <col min="17" max="16384" width="9.21875" style="45"/>
  </cols>
  <sheetData>
    <row r="1" spans="1:20" ht="31.8" x14ac:dyDescent="0.8">
      <c r="A1" s="407" t="s">
        <v>229</v>
      </c>
      <c r="B1" s="147" t="s">
        <v>206</v>
      </c>
    </row>
    <row r="2" spans="1:20" x14ac:dyDescent="0.7">
      <c r="B2" s="114" t="s">
        <v>64</v>
      </c>
      <c r="C2" s="61" t="s">
        <v>82</v>
      </c>
      <c r="D2" s="112" t="s">
        <v>113</v>
      </c>
      <c r="E2" s="113" t="s">
        <v>128</v>
      </c>
      <c r="F2" s="402" t="s">
        <v>226</v>
      </c>
      <c r="L2" s="53"/>
      <c r="M2" s="50"/>
      <c r="N2" s="116" t="s">
        <v>129</v>
      </c>
      <c r="O2" s="117" t="s">
        <v>128</v>
      </c>
      <c r="R2" s="46"/>
      <c r="S2" s="46"/>
      <c r="T2" s="46"/>
    </row>
    <row r="3" spans="1:20" x14ac:dyDescent="0.7">
      <c r="B3" s="115">
        <v>2.1</v>
      </c>
      <c r="C3" s="59">
        <v>3</v>
      </c>
      <c r="D3" s="59">
        <v>4.68</v>
      </c>
      <c r="E3" s="59">
        <v>4.68</v>
      </c>
      <c r="L3" s="46"/>
      <c r="M3" s="118" t="s">
        <v>130</v>
      </c>
      <c r="N3" s="177">
        <f>SUM(D3:D4)/2</f>
        <v>4.79</v>
      </c>
      <c r="O3" s="227">
        <f>SUM(E3:E4)/2</f>
        <v>4.79</v>
      </c>
      <c r="R3" s="46"/>
      <c r="S3" s="46"/>
      <c r="T3" s="46"/>
    </row>
    <row r="4" spans="1:20" x14ac:dyDescent="0.7">
      <c r="B4" s="115">
        <v>2.2000000000000002</v>
      </c>
      <c r="C4" s="59">
        <v>3</v>
      </c>
      <c r="D4" s="59">
        <v>4.9000000000000004</v>
      </c>
      <c r="E4" s="59">
        <v>4.9000000000000004</v>
      </c>
      <c r="L4" s="46"/>
      <c r="M4" s="118" t="s">
        <v>131</v>
      </c>
      <c r="N4" s="177">
        <f>SUM(D5:D7)/3</f>
        <v>4</v>
      </c>
      <c r="O4" s="227">
        <f>SUM(E5:E7)/3</f>
        <v>3.6666666666666665</v>
      </c>
      <c r="R4" s="46"/>
      <c r="S4" s="46" t="s">
        <v>77</v>
      </c>
      <c r="T4" s="46"/>
    </row>
    <row r="5" spans="1:20" x14ac:dyDescent="0.7">
      <c r="B5" s="115">
        <v>3.1</v>
      </c>
      <c r="C5" s="59">
        <v>3</v>
      </c>
      <c r="D5" s="111">
        <v>4</v>
      </c>
      <c r="E5" s="59">
        <v>3</v>
      </c>
      <c r="L5" s="46"/>
      <c r="M5" s="118" t="s">
        <v>132</v>
      </c>
      <c r="N5" s="177">
        <f>SUM(D8:D10)/3</f>
        <v>4.333333333333333</v>
      </c>
      <c r="O5" s="227">
        <f>SUM(E8:E10)/3</f>
        <v>4.333333333333333</v>
      </c>
      <c r="R5" s="46"/>
      <c r="S5" s="46"/>
      <c r="T5" s="46"/>
    </row>
    <row r="6" spans="1:20" x14ac:dyDescent="0.7">
      <c r="B6" s="115">
        <v>3.2</v>
      </c>
      <c r="C6" s="59">
        <v>3</v>
      </c>
      <c r="D6" s="59">
        <v>4</v>
      </c>
      <c r="E6" s="59">
        <v>4</v>
      </c>
      <c r="L6" s="46"/>
      <c r="M6" s="118" t="s">
        <v>133</v>
      </c>
      <c r="N6" s="177">
        <f>SUM(D11:D14)/4</f>
        <v>4.5</v>
      </c>
      <c r="O6" s="227">
        <f>SUM(E11:E14)/4</f>
        <v>4.25</v>
      </c>
      <c r="R6" s="46"/>
      <c r="S6" s="46"/>
      <c r="T6" s="46"/>
    </row>
    <row r="7" spans="1:20" x14ac:dyDescent="0.7">
      <c r="B7" s="115">
        <v>3.3</v>
      </c>
      <c r="C7" s="59">
        <v>3</v>
      </c>
      <c r="D7" s="59">
        <v>4</v>
      </c>
      <c r="E7" s="59">
        <v>4</v>
      </c>
      <c r="L7" s="46"/>
      <c r="M7" s="118" t="s">
        <v>134</v>
      </c>
      <c r="N7" s="177">
        <f>SUM(D15)</f>
        <v>5</v>
      </c>
      <c r="O7" s="227">
        <f>SUM(E15)</f>
        <v>4</v>
      </c>
      <c r="R7" s="46"/>
      <c r="S7" s="46"/>
      <c r="T7" s="46"/>
    </row>
    <row r="8" spans="1:20" ht="73.8" x14ac:dyDescent="0.7">
      <c r="B8" s="115">
        <v>4.0999999999999996</v>
      </c>
      <c r="C8" s="59">
        <v>3</v>
      </c>
      <c r="D8" s="59">
        <v>4</v>
      </c>
      <c r="E8" s="59">
        <v>4</v>
      </c>
      <c r="F8" s="234" t="s">
        <v>207</v>
      </c>
      <c r="G8" s="234" t="s">
        <v>208</v>
      </c>
      <c r="H8" s="234" t="s">
        <v>209</v>
      </c>
      <c r="I8" s="235">
        <v>4.2</v>
      </c>
      <c r="J8" s="236"/>
      <c r="K8" s="234" t="s">
        <v>210</v>
      </c>
      <c r="L8" s="46"/>
      <c r="M8" s="46"/>
      <c r="N8" s="46"/>
      <c r="O8" s="46"/>
      <c r="P8" s="46"/>
    </row>
    <row r="9" spans="1:20" x14ac:dyDescent="0.7">
      <c r="B9" s="115">
        <v>4.2</v>
      </c>
      <c r="C9" s="73">
        <f>SUM(F10:I10)/3</f>
        <v>5</v>
      </c>
      <c r="D9" s="177">
        <f>SUM(F10:K10)/4</f>
        <v>5</v>
      </c>
      <c r="E9" s="178">
        <f>SUM(F9:K9)/4</f>
        <v>5</v>
      </c>
      <c r="F9" s="230">
        <v>5</v>
      </c>
      <c r="G9" s="231">
        <v>5</v>
      </c>
      <c r="H9" s="231">
        <v>5</v>
      </c>
      <c r="I9" s="231"/>
      <c r="J9" s="232"/>
      <c r="K9" s="231">
        <v>5</v>
      </c>
      <c r="L9" s="46"/>
    </row>
    <row r="10" spans="1:20" x14ac:dyDescent="0.7">
      <c r="B10" s="115">
        <v>4.3</v>
      </c>
      <c r="C10" s="59">
        <v>3</v>
      </c>
      <c r="D10" s="59">
        <v>4</v>
      </c>
      <c r="E10" s="59">
        <v>4</v>
      </c>
      <c r="F10" s="116">
        <v>5</v>
      </c>
      <c r="G10" s="116">
        <v>5</v>
      </c>
      <c r="H10" s="116">
        <v>5</v>
      </c>
      <c r="I10" s="116"/>
      <c r="J10" s="233"/>
      <c r="K10" s="116">
        <v>5</v>
      </c>
      <c r="L10" s="46"/>
      <c r="R10" s="46"/>
      <c r="S10" s="46"/>
      <c r="T10" s="46"/>
    </row>
    <row r="11" spans="1:20" x14ac:dyDescent="0.7">
      <c r="B11" s="115">
        <v>5.0999999999999996</v>
      </c>
      <c r="C11" s="59">
        <v>3</v>
      </c>
      <c r="D11" s="59">
        <v>5</v>
      </c>
      <c r="E11" s="59">
        <v>4</v>
      </c>
      <c r="L11" s="46"/>
      <c r="R11" s="46"/>
      <c r="S11" s="46"/>
      <c r="T11" s="46"/>
    </row>
    <row r="12" spans="1:20" x14ac:dyDescent="0.7">
      <c r="B12" s="115">
        <v>5.2</v>
      </c>
      <c r="C12" s="59">
        <v>3</v>
      </c>
      <c r="D12" s="59">
        <v>4</v>
      </c>
      <c r="E12" s="59">
        <v>4</v>
      </c>
      <c r="L12" s="46"/>
      <c r="R12" s="46"/>
      <c r="S12" s="46"/>
      <c r="T12" s="46"/>
    </row>
    <row r="13" spans="1:20" x14ac:dyDescent="0.7">
      <c r="B13" s="115">
        <v>5.3</v>
      </c>
      <c r="C13" s="59">
        <v>3</v>
      </c>
      <c r="D13" s="59">
        <v>4</v>
      </c>
      <c r="E13" s="59">
        <v>4</v>
      </c>
      <c r="L13" s="46"/>
      <c r="R13" s="46"/>
      <c r="S13" s="46" t="s">
        <v>80</v>
      </c>
      <c r="T13" s="46"/>
    </row>
    <row r="14" spans="1:20" x14ac:dyDescent="0.7">
      <c r="B14" s="115">
        <v>5.4</v>
      </c>
      <c r="C14" s="59">
        <v>3</v>
      </c>
      <c r="D14" s="59">
        <v>5</v>
      </c>
      <c r="E14" s="59">
        <v>5</v>
      </c>
      <c r="F14" s="285"/>
      <c r="G14" s="285"/>
      <c r="H14" s="285"/>
      <c r="I14" s="285"/>
      <c r="J14" s="286"/>
      <c r="K14" s="286"/>
      <c r="L14" s="285"/>
      <c r="M14" s="286"/>
      <c r="R14" s="46"/>
      <c r="S14" s="46"/>
      <c r="T14" s="46" t="s">
        <v>78</v>
      </c>
    </row>
    <row r="15" spans="1:20" x14ac:dyDescent="0.7">
      <c r="B15" s="115">
        <v>6.1</v>
      </c>
      <c r="C15" s="59">
        <v>3</v>
      </c>
      <c r="D15" s="59">
        <v>5</v>
      </c>
      <c r="E15" s="59">
        <v>4</v>
      </c>
      <c r="F15" s="285"/>
      <c r="G15" s="287"/>
      <c r="H15" s="287"/>
      <c r="I15" s="285"/>
      <c r="J15" s="286"/>
      <c r="K15" s="286"/>
      <c r="L15" s="285"/>
      <c r="M15" s="286"/>
      <c r="R15" s="46"/>
      <c r="S15" s="46"/>
      <c r="T15" s="46"/>
    </row>
    <row r="16" spans="1:20" x14ac:dyDescent="0.7">
      <c r="B16" s="114" t="s">
        <v>81</v>
      </c>
      <c r="C16" s="62">
        <f>SUM(C3:C15)/13</f>
        <v>3.1538461538461537</v>
      </c>
      <c r="D16" s="228">
        <f>SUM(D3:D15)/13</f>
        <v>4.4292307692307693</v>
      </c>
      <c r="E16" s="229">
        <f>SUM(E3:E15)/13</f>
        <v>4.1984615384615385</v>
      </c>
      <c r="F16" s="285"/>
      <c r="G16" s="288"/>
      <c r="H16" s="289"/>
      <c r="I16" s="286"/>
      <c r="J16" s="286"/>
      <c r="K16" s="286"/>
      <c r="L16" s="287"/>
      <c r="M16" s="286"/>
    </row>
    <row r="17" spans="6:13" x14ac:dyDescent="0.7">
      <c r="F17" s="285" t="s">
        <v>79</v>
      </c>
      <c r="G17" s="285"/>
      <c r="H17" s="285"/>
      <c r="I17" s="285"/>
      <c r="J17" s="286"/>
      <c r="K17" s="286"/>
      <c r="L17" s="286"/>
      <c r="M17" s="286"/>
    </row>
  </sheetData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Q19"/>
  <sheetViews>
    <sheetView zoomScale="90" zoomScaleNormal="90" workbookViewId="0">
      <selection activeCell="AA13" sqref="AA13"/>
    </sheetView>
  </sheetViews>
  <sheetFormatPr defaultColWidth="9.21875" defaultRowHeight="24.6" x14ac:dyDescent="0.7"/>
  <cols>
    <col min="1" max="1" width="2.77734375" style="47" customWidth="1"/>
    <col min="2" max="2" width="12.21875" style="128" customWidth="1"/>
    <col min="3" max="3" width="8.77734375" style="128" customWidth="1"/>
    <col min="4" max="4" width="18.77734375" style="51" customWidth="1"/>
    <col min="5" max="7" width="4.77734375" style="128" hidden="1" customWidth="1"/>
    <col min="8" max="8" width="18.77734375" style="51" customWidth="1"/>
    <col min="9" max="11" width="4.77734375" style="128" hidden="1" customWidth="1"/>
    <col min="12" max="12" width="18.77734375" style="51" customWidth="1"/>
    <col min="13" max="14" width="4.77734375" style="128" hidden="1" customWidth="1"/>
    <col min="15" max="15" width="18.77734375" style="128" customWidth="1"/>
    <col min="16" max="16" width="21.21875" style="47" customWidth="1"/>
    <col min="17" max="16384" width="9.21875" style="47"/>
  </cols>
  <sheetData>
    <row r="1" spans="2:17" ht="31.8" x14ac:dyDescent="0.8"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407" t="s">
        <v>229</v>
      </c>
    </row>
    <row r="2" spans="2:17" x14ac:dyDescent="0.7">
      <c r="B2" s="394" t="s">
        <v>135</v>
      </c>
      <c r="C2" s="394"/>
      <c r="D2" s="394"/>
      <c r="E2" s="394"/>
      <c r="F2" s="394"/>
      <c r="G2" s="394"/>
      <c r="H2" s="394"/>
      <c r="I2" s="394"/>
      <c r="J2" s="394"/>
      <c r="K2" s="394"/>
      <c r="L2" s="394"/>
      <c r="M2" s="394"/>
      <c r="N2" s="394"/>
      <c r="O2" s="394"/>
      <c r="P2" s="394"/>
    </row>
    <row r="3" spans="2:17" x14ac:dyDescent="0.7">
      <c r="B3" s="395"/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402" t="s">
        <v>227</v>
      </c>
    </row>
    <row r="4" spans="2:17" ht="32.25" customHeight="1" x14ac:dyDescent="0.7">
      <c r="B4" s="396" t="s">
        <v>70</v>
      </c>
      <c r="C4" s="129" t="s">
        <v>69</v>
      </c>
      <c r="D4" s="398" t="s">
        <v>68</v>
      </c>
      <c r="E4" s="63"/>
      <c r="F4" s="63"/>
      <c r="G4" s="64"/>
      <c r="H4" s="398" t="s">
        <v>67</v>
      </c>
      <c r="I4" s="63"/>
      <c r="J4" s="63"/>
      <c r="K4" s="64"/>
      <c r="L4" s="398" t="s">
        <v>66</v>
      </c>
      <c r="M4" s="63"/>
      <c r="N4" s="63"/>
      <c r="O4" s="400" t="s">
        <v>83</v>
      </c>
      <c r="P4" s="400" t="s">
        <v>65</v>
      </c>
    </row>
    <row r="5" spans="2:17" ht="32.25" customHeight="1" x14ac:dyDescent="0.7">
      <c r="B5" s="397"/>
      <c r="C5" s="48" t="s">
        <v>64</v>
      </c>
      <c r="D5" s="399"/>
      <c r="E5" s="65"/>
      <c r="F5" s="65"/>
      <c r="G5" s="66"/>
      <c r="H5" s="399"/>
      <c r="I5" s="65"/>
      <c r="J5" s="65"/>
      <c r="K5" s="66"/>
      <c r="L5" s="399"/>
      <c r="M5" s="65"/>
      <c r="N5" s="65"/>
      <c r="O5" s="401"/>
      <c r="P5" s="401"/>
    </row>
    <row r="6" spans="2:17" ht="24" customHeight="1" x14ac:dyDescent="0.7">
      <c r="B6" s="49">
        <v>1</v>
      </c>
      <c r="C6" s="389" t="s">
        <v>71</v>
      </c>
      <c r="D6" s="389"/>
      <c r="E6" s="389"/>
      <c r="F6" s="389"/>
      <c r="G6" s="389"/>
      <c r="H6" s="389"/>
      <c r="I6" s="389"/>
      <c r="J6" s="389"/>
      <c r="K6" s="389"/>
      <c r="L6" s="389"/>
      <c r="M6" s="389"/>
      <c r="N6" s="389"/>
      <c r="O6" s="390"/>
      <c r="P6" s="72" t="s">
        <v>72</v>
      </c>
    </row>
    <row r="7" spans="2:17" ht="24" customHeight="1" x14ac:dyDescent="0.7">
      <c r="B7" s="49">
        <v>2</v>
      </c>
      <c r="C7" s="49">
        <v>2</v>
      </c>
      <c r="D7" s="70" t="s">
        <v>63</v>
      </c>
      <c r="E7" s="70" t="s">
        <v>63</v>
      </c>
      <c r="F7" s="70" t="s">
        <v>63</v>
      </c>
      <c r="G7" s="70" t="s">
        <v>63</v>
      </c>
      <c r="H7" s="70" t="s">
        <v>63</v>
      </c>
      <c r="I7" s="70" t="s">
        <v>63</v>
      </c>
      <c r="J7" s="70" t="s">
        <v>63</v>
      </c>
      <c r="K7" s="70" t="s">
        <v>63</v>
      </c>
      <c r="L7" s="237">
        <f>SUM('ราย ตบช.(เอก)'!E3:E4)/2</f>
        <v>4.79</v>
      </c>
      <c r="M7" s="70">
        <f>+'ราย ตบช.(ตรี-โท)'!E3</f>
        <v>4.68</v>
      </c>
      <c r="N7" s="70">
        <f>+'ราย ตบช.(ตรี-โท)'!E4</f>
        <v>4.9000000000000004</v>
      </c>
      <c r="O7" s="239">
        <f>'ราย ตบช.(เอก)'!O3</f>
        <v>4.79</v>
      </c>
      <c r="P7" s="240" t="str">
        <f>IF(O7&gt;=4.01,H19,IF(O7&gt;=3.01,H18,IF(O7&gt;=2.01,H17,IF(O7&gt;=0.01,H16,IF(O7&gt;=0,H15)))))</f>
        <v>ระดับคุณภาพดีมาก</v>
      </c>
    </row>
    <row r="8" spans="2:17" ht="24" customHeight="1" x14ac:dyDescent="0.7">
      <c r="B8" s="49">
        <v>3</v>
      </c>
      <c r="C8" s="49">
        <v>3</v>
      </c>
      <c r="D8" s="237">
        <f>SUM('ราย ตบช.(เอก)'!E5:E7)/3</f>
        <v>3.6666666666666665</v>
      </c>
      <c r="E8" s="70">
        <f>+'ราย ตบช.(ตรี-โท)'!E5</f>
        <v>3</v>
      </c>
      <c r="F8" s="70">
        <f>+'ราย ตบช.(ตรี-โท)'!E6</f>
        <v>4</v>
      </c>
      <c r="G8" s="70">
        <f>+'ราย ตบช.(ตรี-โท)'!E7</f>
        <v>3</v>
      </c>
      <c r="H8" s="70" t="s">
        <v>63</v>
      </c>
      <c r="I8" s="70" t="s">
        <v>63</v>
      </c>
      <c r="J8" s="70" t="s">
        <v>63</v>
      </c>
      <c r="K8" s="70" t="s">
        <v>63</v>
      </c>
      <c r="L8" s="70" t="s">
        <v>63</v>
      </c>
      <c r="M8" s="70" t="s">
        <v>63</v>
      </c>
      <c r="N8" s="70" t="s">
        <v>63</v>
      </c>
      <c r="O8" s="239">
        <f>'ราย ตบช.(เอก)'!O4</f>
        <v>3.6666666666666665</v>
      </c>
      <c r="P8" s="240" t="str">
        <f>IF(O8&gt;=4.01,H19,IF(O8&gt;=3.01,H18,IF(O8&gt;=2.01,H17,IF(O8&gt;=0.01,H16,IF(O8&gt;=0,H15)))))</f>
        <v>ระดับคุณภาพดี</v>
      </c>
    </row>
    <row r="9" spans="2:17" ht="24" customHeight="1" x14ac:dyDescent="0.7">
      <c r="B9" s="49">
        <v>4</v>
      </c>
      <c r="C9" s="49">
        <v>3</v>
      </c>
      <c r="D9" s="237">
        <f>SUM('ราย ตบช.(เอก)'!E8:E10)/3</f>
        <v>4.333333333333333</v>
      </c>
      <c r="E9" s="70">
        <f>+'ราย ตบช.(ตรี-โท)'!E8</f>
        <v>3</v>
      </c>
      <c r="F9" s="70">
        <f>+'ราย ตบช.(ตรี-โท)'!E9</f>
        <v>3.3333333333333335</v>
      </c>
      <c r="G9" s="70">
        <f>+'ราย ตบช.(ตรี-โท)'!E10</f>
        <v>3</v>
      </c>
      <c r="H9" s="70" t="s">
        <v>63</v>
      </c>
      <c r="I9" s="70" t="s">
        <v>63</v>
      </c>
      <c r="J9" s="70" t="s">
        <v>63</v>
      </c>
      <c r="K9" s="70" t="s">
        <v>63</v>
      </c>
      <c r="L9" s="70" t="s">
        <v>63</v>
      </c>
      <c r="M9" s="70" t="s">
        <v>63</v>
      </c>
      <c r="N9" s="70" t="s">
        <v>63</v>
      </c>
      <c r="O9" s="239">
        <f>'ราย ตบช.(เอก)'!O5</f>
        <v>4.333333333333333</v>
      </c>
      <c r="P9" s="240" t="str">
        <f>IF(O9&gt;=4.01,H19,IF(O9&gt;=3.01,H18,IF(O9&gt;=2.01,H17,IF(O9&gt;=0.01,H16,IF(O9&gt;=0,H15)))))</f>
        <v>ระดับคุณภาพดีมาก</v>
      </c>
    </row>
    <row r="10" spans="2:17" ht="24" customHeight="1" x14ac:dyDescent="0.7">
      <c r="B10" s="49">
        <v>5</v>
      </c>
      <c r="C10" s="49">
        <v>4</v>
      </c>
      <c r="D10" s="237">
        <f>SUM('ราย ตบช.(เอก)'!E11)</f>
        <v>4</v>
      </c>
      <c r="E10" s="70">
        <f>+'ราย ตบช.(ตรี-โท)'!E11</f>
        <v>3</v>
      </c>
      <c r="F10" s="70" t="s">
        <v>63</v>
      </c>
      <c r="G10" s="70" t="s">
        <v>63</v>
      </c>
      <c r="H10" s="237">
        <f>SUM('ราย ตบช.(เอก)'!E12:E14)/3</f>
        <v>4.333333333333333</v>
      </c>
      <c r="I10" s="70">
        <f>+'ราย ตบช.(ตรี-โท)'!E12</f>
        <v>3</v>
      </c>
      <c r="J10" s="70">
        <f>+'ราย ตบช.(ตรี-โท)'!E13</f>
        <v>3</v>
      </c>
      <c r="K10" s="70">
        <f>+'ราย ตบช.(ตรี-โท)'!E14</f>
        <v>5</v>
      </c>
      <c r="L10" s="70" t="s">
        <v>63</v>
      </c>
      <c r="M10" s="70" t="s">
        <v>63</v>
      </c>
      <c r="N10" s="70" t="s">
        <v>63</v>
      </c>
      <c r="O10" s="239">
        <f>'ราย ตบช.(เอก)'!O6</f>
        <v>4.25</v>
      </c>
      <c r="P10" s="240" t="str">
        <f>IF(O10&gt;=4.01,H19,IF(O10&gt;=3.01,H18,IF(O10&gt;=2.01,H17,IF(O10&gt;=0.01,H16,IF(O10&gt;=0,H15)))))</f>
        <v>ระดับคุณภาพดีมาก</v>
      </c>
    </row>
    <row r="11" spans="2:17" ht="24" customHeight="1" x14ac:dyDescent="0.7">
      <c r="B11" s="49">
        <v>6</v>
      </c>
      <c r="C11" s="49">
        <v>1</v>
      </c>
      <c r="D11" s="70" t="s">
        <v>63</v>
      </c>
      <c r="E11" s="71" t="s">
        <v>63</v>
      </c>
      <c r="F11" s="71" t="s">
        <v>63</v>
      </c>
      <c r="G11" s="71" t="s">
        <v>63</v>
      </c>
      <c r="H11" s="237">
        <f>'ราย ตบช.(เอก)'!E15</f>
        <v>4</v>
      </c>
      <c r="I11" s="70">
        <f>+'ราย ตบช.(ตรี-โท)'!E15</f>
        <v>4</v>
      </c>
      <c r="J11" s="70" t="s">
        <v>63</v>
      </c>
      <c r="K11" s="70" t="s">
        <v>63</v>
      </c>
      <c r="L11" s="70" t="s">
        <v>63</v>
      </c>
      <c r="M11" s="70" t="s">
        <v>63</v>
      </c>
      <c r="N11" s="70" t="s">
        <v>63</v>
      </c>
      <c r="O11" s="239">
        <f>'ราย ตบช.(เอก)'!O7</f>
        <v>4</v>
      </c>
      <c r="P11" s="240" t="str">
        <f>IF(O11&gt;=4.01,H19,IF(O11&gt;=3.01,H18,IF(O11&gt;=2.01,H17,IF(O11&gt;=0.01,H16,IF(O11&gt;=0,H15)))))</f>
        <v>ระดับคุณภาพดี</v>
      </c>
    </row>
    <row r="12" spans="2:17" ht="24" customHeight="1" x14ac:dyDescent="0.7">
      <c r="B12" s="67" t="s">
        <v>62</v>
      </c>
      <c r="C12" s="238">
        <f>SUM(C7:C11)</f>
        <v>13</v>
      </c>
      <c r="D12" s="67"/>
      <c r="E12" s="67"/>
      <c r="F12" s="67"/>
      <c r="G12" s="67"/>
      <c r="H12" s="68"/>
      <c r="I12" s="67"/>
      <c r="J12" s="67"/>
      <c r="K12" s="67"/>
      <c r="L12" s="67"/>
      <c r="M12" s="69"/>
      <c r="N12" s="69"/>
      <c r="O12" s="69"/>
      <c r="P12" s="69"/>
    </row>
    <row r="13" spans="2:17" s="52" customFormat="1" ht="23.4" x14ac:dyDescent="0.6">
      <c r="B13" s="391" t="s">
        <v>61</v>
      </c>
      <c r="C13" s="392"/>
      <c r="D13" s="239">
        <f>SUM('ราย ตบช.(เอก)'!E5:E11)/7</f>
        <v>4</v>
      </c>
      <c r="E13" s="241"/>
      <c r="F13" s="242"/>
      <c r="G13" s="243"/>
      <c r="H13" s="239">
        <f>SUM('ราย ตบช.(เอก)'!E12:E15)/4</f>
        <v>4.25</v>
      </c>
      <c r="I13" s="241"/>
      <c r="J13" s="242"/>
      <c r="K13" s="243"/>
      <c r="L13" s="239">
        <f>SUM('ราย ตบช.(เอก)'!E3:E4)/2</f>
        <v>4.79</v>
      </c>
      <c r="M13" s="242"/>
      <c r="N13" s="243"/>
      <c r="O13" s="239">
        <f>'ราย ตบช.(เอก)'!E16</f>
        <v>4.1984615384615385</v>
      </c>
      <c r="P13" s="243" t="str">
        <f>IF(O13&gt;=4.01,H19,IF(O13&gt;=3.01,H18,IF(O13&gt;=2.01,H17,IF(O13&gt;=0.01,H16,IF(O13&gt;=0,H15)))))</f>
        <v>ระดับคุณภาพดีมาก</v>
      </c>
    </row>
    <row r="15" spans="2:17" x14ac:dyDescent="0.7">
      <c r="B15" s="50" t="s">
        <v>60</v>
      </c>
      <c r="D15" s="60">
        <v>0</v>
      </c>
      <c r="E15" s="47"/>
      <c r="F15" s="47"/>
      <c r="G15" s="47"/>
      <c r="H15" s="409" t="s">
        <v>92</v>
      </c>
      <c r="O15" s="408"/>
    </row>
    <row r="16" spans="2:17" x14ac:dyDescent="0.7">
      <c r="D16" s="60" t="s">
        <v>84</v>
      </c>
      <c r="E16" s="47"/>
      <c r="F16" s="47"/>
      <c r="G16" s="47"/>
      <c r="H16" s="404" t="s">
        <v>88</v>
      </c>
      <c r="P16" s="47" t="s">
        <v>76</v>
      </c>
    </row>
    <row r="17" spans="4:8" x14ac:dyDescent="0.7">
      <c r="D17" s="60" t="s">
        <v>85</v>
      </c>
      <c r="E17" s="47"/>
      <c r="F17" s="47"/>
      <c r="G17" s="47"/>
      <c r="H17" s="404" t="s">
        <v>89</v>
      </c>
    </row>
    <row r="18" spans="4:8" x14ac:dyDescent="0.7">
      <c r="D18" s="60" t="s">
        <v>86</v>
      </c>
      <c r="E18" s="47"/>
      <c r="F18" s="47"/>
      <c r="G18" s="47"/>
      <c r="H18" s="404" t="s">
        <v>90</v>
      </c>
    </row>
    <row r="19" spans="4:8" x14ac:dyDescent="0.7">
      <c r="D19" s="60" t="s">
        <v>87</v>
      </c>
      <c r="H19" s="404" t="s">
        <v>91</v>
      </c>
    </row>
  </sheetData>
  <mergeCells count="10">
    <mergeCell ref="C6:O6"/>
    <mergeCell ref="B13:C13"/>
    <mergeCell ref="B1:P1"/>
    <mergeCell ref="B2:P3"/>
    <mergeCell ref="B4:B5"/>
    <mergeCell ref="D4:D5"/>
    <mergeCell ref="H4:H5"/>
    <mergeCell ref="L4:L5"/>
    <mergeCell ref="O4:O5"/>
    <mergeCell ref="P4:P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ตบช.เชิงปริมาณ</vt:lpstr>
      <vt:lpstr>ตัวบ่งชี้ 2.1</vt:lpstr>
      <vt:lpstr>อัตราการเปลี่ยนแปลง (ตรี 4 ปี)</vt:lpstr>
      <vt:lpstr>อัตราเปลี่ยนแปลง (ตรี 5 ปี)</vt:lpstr>
      <vt:lpstr>อัตราเปลี่ยนแปลง (ตรี 6 ปี)</vt:lpstr>
      <vt:lpstr>อัตราการเปลี่ยนแปลง (โท)</vt:lpstr>
      <vt:lpstr>อัตราการเปลี่ยนแปลง (เอก)</vt:lpstr>
      <vt:lpstr>ตัวบ่งชี้ 3.3 (ป.ตรี4ปี)</vt:lpstr>
      <vt:lpstr>ตัวบ่งชี้3.3(ป.ตรี5ปี)</vt:lpstr>
      <vt:lpstr>ตัวบ่งชี้3.3(ป.ตรี6ปี)</vt:lpstr>
      <vt:lpstr>ตัวบ่งชี้ 3.3 (ป.โท 2 ปี)</vt:lpstr>
      <vt:lpstr>ตัวบ่งชี้ 3.3 (เอก 3 ปี)</vt:lpstr>
      <vt:lpstr>ราย ตบช.(ตรี-โท)</vt:lpstr>
      <vt:lpstr>สรุปคะแนน(ตรี-โท)</vt:lpstr>
      <vt:lpstr>ราย ตบช.(เอก)</vt:lpstr>
      <vt:lpstr>สรุปคะแนน (เอก)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MSATER-EN7</dc:creator>
  <cp:lastModifiedBy>QA2</cp:lastModifiedBy>
  <cp:lastPrinted>2016-07-13T07:51:26Z</cp:lastPrinted>
  <dcterms:created xsi:type="dcterms:W3CDTF">2015-07-06T04:22:14Z</dcterms:created>
  <dcterms:modified xsi:type="dcterms:W3CDTF">2023-03-30T04:51:42Z</dcterms:modified>
</cp:coreProperties>
</file>